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TS List" sheetId="1" state="visible" r:id="rId1"/>
    <sheet name="TBS List" sheetId="2" state="visible" r:id="rId2"/>
    <sheet name="例外清單" sheetId="3" state="visible" r:id="rId3"/>
    <sheet name="查核表" sheetId="4" state="visible" r:id="rId4"/>
  </sheets>
  <definedNames>
    <definedName name="_xlnm._FilterDatabase" localSheetId="0" hidden="1">'MTS List'!$A$1:$O$96</definedName>
    <definedName name="_xlnm._FilterDatabase" localSheetId="1" hidden="1">'TBS List'!$A$1:$O$110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€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17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hepsiburada.com/chattel-cht-6255-elektrikli-gonye-kesme-makinasi-1800-w-255-mm-tepsi-ayarli-gonye-makinasi-pm-HBC0000EUNMQG" TargetMode="External" Id="rId1" /><Relationship Type="http://schemas.openxmlformats.org/officeDocument/2006/relationships/hyperlink" Target="https://www.bricozor.com/scie-onglet-laser-tc-ms-2513-einhell.html" TargetMode="External" Id="rId2" /><Relationship Type="http://schemas.openxmlformats.org/officeDocument/2006/relationships/hyperlink" Target="https://www.manomano.it/p/troncatrice-professionale-da-1800-watt-ingco-con-disco-da-254-mm-tct-serie-industrial-49503061" TargetMode="External" Id="rId3" /><Relationship Type="http://schemas.openxmlformats.org/officeDocument/2006/relationships/hyperlink" Target="https://www.idefix.com/kleco-gonye-kesme-maknasi-ke255gk-p-19029327" TargetMode="External" Id="rId4" /><Relationship Type="http://schemas.openxmlformats.org/officeDocument/2006/relationships/hyperlink" Target="https://www.screwfix.com/p/makita-ls1040n-2-260mm-electric-single-bevel-compound-mitre-saw-240v/336hg" TargetMode="External" Id="rId5" /><Relationship Type="http://schemas.openxmlformats.org/officeDocument/2006/relationships/hyperlink" Target="https://www.hepsiburada.com/makita-mls100-1500-watt-255-mm-gonye-kesme-makinasi-pm-hrrsmmls100" TargetMode="External" Id="rId6" /><Relationship Type="http://schemas.openxmlformats.org/officeDocument/2006/relationships/hyperlink" Target="https://www.screwfix.com/p/makita-mls100n-2-255mm-electric-single-bevel-mitre-saw-240v/754xj" TargetMode="External" Id="rId7" /><Relationship Type="http://schemas.openxmlformats.org/officeDocument/2006/relationships/hyperlink" Target="https://www.hepsiburada.com/pro-muller-dfs001-1500-watt-bakir-sargili-255-mm-90-acili-gonye-ahsap-metal-kesme-makinesi-pm-HBC0000C7IHUH" TargetMode="External" Id="rId8" /><Relationship Type="http://schemas.openxmlformats.org/officeDocument/2006/relationships/hyperlink" Target="https://www.castorama.fr/scie-a-onglet-radiale-scheppach-hm100t-1800w-254-mm/4046664031864_CAFR.prd" TargetMode="External" Id="rId9" /><Relationship Type="http://schemas.openxmlformats.org/officeDocument/2006/relationships/hyperlink" Target="https://allo.ua/ua/torcovochnye-pily/pila-torcovochnaja-s-protjazhkoj-cetevaja-aeg-ps254l-254-mm-90-mm-2000-vt-19-5-kg.html" TargetMode="External" Id="rId10" /><Relationship Type="http://schemas.openxmlformats.org/officeDocument/2006/relationships/hyperlink" Target="https://www.hepsiburada.com/attlas-gk255-dbl-cift-yatarli-gonye-kesme-255-mm-1800-w-a0701022-pm-HBC0000DW2Y82" TargetMode="External" Id="rId11" /><Relationship Type="http://schemas.openxmlformats.org/officeDocument/2006/relationships/hyperlink" Target="https://www.axminstertools.com/axminster-workshop-aw254sms-slide-mitre-saw-230v-113375" TargetMode="External" Id="rId12" /><Relationship Type="http://schemas.openxmlformats.org/officeDocument/2006/relationships/hyperlink" Target="https://www.biltema.se/verktyg/elverktyg/elsagar/stationara-sagar/kap--geringssag-ms-255d-2000043510" TargetMode="External" Id="rId13" /><Relationship Type="http://schemas.openxmlformats.org/officeDocument/2006/relationships/hyperlink" Target="https://www.gamma.nl/assortiment/black-decker-2100w-254mm-afkort-en-verstekzaag-bes710-qs/p/B148876" TargetMode="External" Id="rId14" /><Relationship Type="http://schemas.openxmlformats.org/officeDocument/2006/relationships/hyperlink" Target="https://www.manomano.it/p/mitre-saw-kgz-2540-vario-boiskraft-31968745" TargetMode="External" Id="rId15" /><Relationship Type="http://schemas.openxmlformats.org/officeDocument/2006/relationships/hyperlink" Target="https://www.obi.de/p/1825587/bosch-professional-kapp-und-gehrungssaege-gcm-10-gdj-1-800-w-mit-kreissaegeblatt" TargetMode="External" Id="rId16" /><Relationship Type="http://schemas.openxmlformats.org/officeDocument/2006/relationships/hyperlink" Target="https://www.obi.de/p/6095939/bosch-professional-akku-kapp-und-gehrungssaege-gcm-18-v-254-d" TargetMode="External" Id="rId17" /><Relationship Type="http://schemas.openxmlformats.org/officeDocument/2006/relationships/hyperlink" Target="https://www.kaufland.at/product/502335349/" TargetMode="External" Id="rId18" /><Relationship Type="http://schemas.openxmlformats.org/officeDocument/2006/relationships/hyperlink" Target="https://www.obi.at/p/3341591/bosch-professional-kapp-und-gehrungssaege-gcm-305-254-d-1-500-w-m-2-x-saegeblatt" TargetMode="External" Id="rId19" /><Relationship Type="http://schemas.openxmlformats.org/officeDocument/2006/relationships/hyperlink" Target="https://www.lawson-his.co.uk/clarke-cms10s2b-10-sliding-mitre-saw-with-laser-230v" TargetMode="External" Id="rId20" /><Relationship Type="http://schemas.openxmlformats.org/officeDocument/2006/relationships/hyperlink" Target="https://www.obi.de/p/7327216/cmi-zug-kapp-und-gehrungssaege-c-zkgs-250-a" TargetMode="External" Id="rId21" /><Relationship Type="http://schemas.openxmlformats.org/officeDocument/2006/relationships/hyperlink" Target="https://www.manomano.it/p/constructor-ctrms1800-255la-sega-radiale-1800w-con-laser-diametro-disco-254mm-19566664" TargetMode="External" Id="rId22" /><Relationship Type="http://schemas.openxmlformats.org/officeDocument/2006/relationships/hyperlink" Target="https://www.hornbach.at/p/akku-gehrungssaege-dewalt-dcs727n-xj-54-v-ohne-akku-und-ohne-ladegeraet/12011674/" TargetMode="External" Id="rId23" /><Relationship Type="http://schemas.openxmlformats.org/officeDocument/2006/relationships/hyperlink" Target="https://www.sautershop-de.com/en-int/mitre-saw-dewalt-dws727qs-d-dws727-qs" TargetMode="External" Id="rId24" /><Relationship Type="http://schemas.openxmlformats.org/officeDocument/2006/relationships/hyperlink" Target="https://www.castorama.fr/mkp/scie-onglets-radiale-1850-w-lame-250-mm-dewalt-dws778-qs/5035048399606_CAFR.prd" TargetMode="External" Id="rId25" /><Relationship Type="http://schemas.openxmlformats.org/officeDocument/2006/relationships/hyperlink" Target="https://www.leroymerlin.it/prodotti/troncatrice-radiale-dexter-j1g-zp38-k255-3-254-mm-2000w-91225647.html" TargetMode="External" Id="rId26" /><Relationship Type="http://schemas.openxmlformats.org/officeDocument/2006/relationships/hyperlink" Target="https://www.toolstation.com/draper-2000w-double-bevel-sliding-compound-mitre-saw/p61101" TargetMode="External" Id="rId27" /><Relationship Type="http://schemas.openxmlformats.org/officeDocument/2006/relationships/hyperlink" Target="https://www.screwfix.com/p/draper-90170-255mm-electric-single-bevel-sliding-compound-mitre-saw-240v/498cm" TargetMode="External" Id="rId28" /><Relationship Type="http://schemas.openxmlformats.org/officeDocument/2006/relationships/hyperlink" Target="https://www.obi-italia.it/p/5348073/troncatrice-radiale-con-banchetto-tcsm-2531-2-u-einhell" TargetMode="External" Id="rId29" /><Relationship Type="http://schemas.openxmlformats.org/officeDocument/2006/relationships/hyperlink" Target="https://www.manomano.it/p/einhell-troncatrice-radiale-2350w-inclinabile-falegname-taglio-legno-th-sm2534-49538" TargetMode="External" Id="rId30" /><Relationship Type="http://schemas.openxmlformats.org/officeDocument/2006/relationships/hyperlink" Target="https://www.hagebau.at/p/einhell-zug-kapp-gehrungssaege-einhell-classic-tc-sm-2534-1-dual-4000-u-min-2350-w-anP7000459042/" TargetMode="External" Id="rId31" /><Relationship Type="http://schemas.openxmlformats.org/officeDocument/2006/relationships/hyperlink" Target="https://www.obi.de/p/8041097/einhell-zug-kapp-gehrungssaege-tc-sm-254" TargetMode="External" Id="rId32" /><Relationship Type="http://schemas.openxmlformats.org/officeDocument/2006/relationships/hyperlink" Target="https://www.hornbach.at/p/zug-kapp-und-gehrungssaege-einhell-te-sm-10-l-1800-w-220-v/12556690/" TargetMode="External" Id="rId33" /><Relationship Type="http://schemas.openxmlformats.org/officeDocument/2006/relationships/hyperlink" Target="https://www.hornbach.de/p/zug-kapp-und-gehrungssaege-einhell-1800-w-220-v/12556690/" TargetMode="External" Id="rId34" /><Relationship Type="http://schemas.openxmlformats.org/officeDocument/2006/relationships/hyperlink" Target="https://www.hornbach.de/p/zug-kapp-gehrungssaege-einhell-te-sm-2534-dual/5789288/" TargetMode="External" Id="rId35" /><Relationship Type="http://schemas.openxmlformats.org/officeDocument/2006/relationships/hyperlink" Target="https://www.obi.de/p/7715642/einhell-power-x-change-akku-zug-kapp-gehrungssaege-te-sm-36-10-l-li-solo" TargetMode="External" Id="rId36" /><Relationship Type="http://schemas.openxmlformats.org/officeDocument/2006/relationships/hyperlink" Target="https://www.castorama.fr/scie-a-onglet-radiale-erbauer-emis254s-254-mm/3663602797265_CAFR.prd" TargetMode="External" Id="rId37" /><Relationship Type="http://schemas.openxmlformats.org/officeDocument/2006/relationships/hyperlink" Target="https://www.screwfix.com/p/erbauer-erb1074msw-254mm-electric-double-bevel-sliding-compound-mitre-saw-240v/485xv" TargetMode="External" Id="rId38" /><Relationship Type="http://schemas.openxmlformats.org/officeDocument/2006/relationships/hyperlink" Target="https://www.praxis.nl/gereedschap-werkplaats/elektrisch-gereedschap/zaagmachines/afkortzagen/evolution-afkortzaag-f255sms-1600w-gesnoerd-met-lasergeleider/5674264" TargetMode="External" Id="rId39" /><Relationship Type="http://schemas.openxmlformats.org/officeDocument/2006/relationships/hyperlink" Target="https://www.diy.com/departments/evolution-2000w-240v-255mm-corded-sliding-mitre-saw-r255sms/0849713073716_BQ.prd" TargetMode="External" Id="rId40" /><Relationship Type="http://schemas.openxmlformats.org/officeDocument/2006/relationships/hyperlink" Target="https://www.screwfix.com/p/evolution-r255sms-db-255mm-electric-double-bevel-sliding-multi-material-mitre-saw-220-240v/128hf" TargetMode="External" Id="rId41" /><Relationship Type="http://schemas.openxmlformats.org/officeDocument/2006/relationships/hyperlink" Target="https://evolutionpowertools.it/products/evolution-troncatrice-radiale-a-batteria-r255sms-db-li-255mm-doppio-smusso-e-lama-multi-materiale-senza-batteria-e-caricatore?_pos=14&amp;_sid=c6aea2435&amp;_ss=r" TargetMode="External" Id="rId42" /><Relationship Type="http://schemas.openxmlformats.org/officeDocument/2006/relationships/hyperlink" Target="https://www.diy.com/departments/excel-255mm-sliding-mitre-saw-2000w-240v-double-bevel-with-laser-guide-for-precise-wood-cutting-in-joinery-diy-trade-use/0743031864219_BQ.prd" TargetMode="External" Id="rId43" /><Relationship Type="http://schemas.openxmlformats.org/officeDocument/2006/relationships/hyperlink" Target="https://www.castorama.fr/scie-a-onglet-radiale-dms-255-2000w-fartools/3431541132207_CAFR.prd" TargetMode="External" Id="rId44" /><Relationship Type="http://schemas.openxmlformats.org/officeDocument/2006/relationships/hyperlink" Target="https://www.cdiscount.com/bricolage/outillage/scie-a-onglet-radiale-d-254-mm-multi-materiaux-sbm/f-166010106-far1697263161471.html" TargetMode="External" Id="rId45" /><Relationship Type="http://schemas.openxmlformats.org/officeDocument/2006/relationships/hyperlink" Target="https://www.manomano.it/p/femi-job-line-troncatrice-radiale-per-legno-255-mm-con-laser-2000-w-tr1025b-cod-8425031-88255187" TargetMode="External" Id="rId46" /><Relationship Type="http://schemas.openxmlformats.org/officeDocument/2006/relationships/hyperlink" Target="https://ferramentas.pt/serra-de-esquadria-femi-tr1025a-para-madeira-e-aluminio.html" TargetMode="External" Id="rId47" /><Relationship Type="http://schemas.openxmlformats.org/officeDocument/2006/relationships/hyperlink" Target="https://www.brico.be/nl/gereedschap-werkplaats/elektrisch-gereedschap/zaagmachines/afkortzagen/ferm-radiaal-afkort-verstekzaag-1900w-254mm/10137021" TargetMode="External" Id="rId48" /><Relationship Type="http://schemas.openxmlformats.org/officeDocument/2006/relationships/hyperlink" Target="https://www.hornbach.de/p/festool-ks-120-eb-kapex-kapp-zugsaege-1600w-260-mm-561283-saegeblatt-hw/12242709/" TargetMode="External" Id="rId49" /><Relationship Type="http://schemas.openxmlformats.org/officeDocument/2006/relationships/hyperlink" Target="https://www.axminstertools.com/festool-kapex-ks120-reb-mitre-saw-extensions-230v-105629" TargetMode="External" Id="rId50" /><Relationship Type="http://schemas.openxmlformats.org/officeDocument/2006/relationships/hyperlink" Target="https://www.manomano.it/p/ff-group-scms-254-plus-troncatrice-radiale-2000w-semi-professionale-con-lama-da-254mm-92931084" TargetMode="External" Id="rId51" /><Relationship Type="http://schemas.openxmlformats.org/officeDocument/2006/relationships/hyperlink" Target="https://www.hepsiburada.com/hais-kizakli-gonye-kesme-makinesi-255-mm-2000-watt-pm-HBC0000614F1M" TargetMode="External" Id="rId52" /><Relationship Type="http://schemas.openxmlformats.org/officeDocument/2006/relationships/hyperlink" Target="https://cz.hecht.cz/pokosova-pila-s-laserem-hecht-820" TargetMode="External" Id="rId53" /><Relationship Type="http://schemas.openxmlformats.org/officeDocument/2006/relationships/hyperlink" Target="https://www.manomano.it/p/hikoki-troncatrice-radiale-a-batteria-36v-c3610dra-senza-batteria-senza-caricatore-c3610draw4z-12033858" TargetMode="External" Id="rId54" /><Relationship Type="http://schemas.openxmlformats.org/officeDocument/2006/relationships/hyperlink" Target="https://www.obi.hu/leszabo-gervago-fureszek/hyundai-hyd-250l-m-kihuzhato-lezeres-gervago/p/4967303" TargetMode="External" Id="rId55" /><Relationship Type="http://schemas.openxmlformats.org/officeDocument/2006/relationships/hyperlink" Target="https://www.idefix.com/kress-kh4839-40volt-1400w-254mm-komursuz-kizakli-bluetooth-baglantili-profesyonel-gonye-kesme-aku-dahil-degildir-p-13279062" TargetMode="External" Id="rId56" /><Relationship Type="http://schemas.openxmlformats.org/officeDocument/2006/relationships/hyperlink" Target="https://www.manomano.it/p/leman-sor250-sega-troncatrice-per-tagli-obliqui-radiale-255-mm-74786130" TargetMode="External" Id="rId57" /><Relationship Type="http://schemas.openxmlformats.org/officeDocument/2006/relationships/hyperlink" Target="https://walshplant.ie/products/dls110" TargetMode="External" Id="rId58" /><Relationship Type="http://schemas.openxmlformats.org/officeDocument/2006/relationships/hyperlink" Target="https://www.obi.de/p/4910519/makita-akku-kapp-und-gehrungssaege-dls111zu" TargetMode="External" Id="rId59" /><Relationship Type="http://schemas.openxmlformats.org/officeDocument/2006/relationships/hyperlink" Target="https://ferramentas.pt/serra-de-esquadria-telescopica-260mm-xgt-40v-makita-ls004gz01.html" TargetMode="External" Id="rId60" /><Relationship Type="http://schemas.openxmlformats.org/officeDocument/2006/relationships/hyperlink" Target="https://www.hornbach.lu/fr/p/scie-universelle-a-traction-et-a-onglet-makita-ls1018ln-avec-lame-de-scie-260x30-mm/10067478/" TargetMode="External" Id="rId61" /><Relationship Type="http://schemas.openxmlformats.org/officeDocument/2006/relationships/hyperlink" Target="https://www.manomano.fr/p/makita-ls1019l-scie-a-onglet-radiale-avec-laser-1510w-260-x-30mm-24014748" TargetMode="External" Id="rId62" /><Relationship Type="http://schemas.openxmlformats.org/officeDocument/2006/relationships/hyperlink" Target="https://www.otto.de/p/makita-kapp-und-gehrungssaege-ls1110f-1-450-w-260-mm-4-500-min-1-kapp-und-gehrungssaege-fuer-praezise-schnitte-bis-310-mm-C2047429877/" TargetMode="External" Id="rId63" /><Relationship Type="http://schemas.openxmlformats.org/officeDocument/2006/relationships/hyperlink" Target="https://www.manomano.es/p/kgs-18-ltx-bl-254-tapaw-de-bateria-sin-bateria-sin-cargador-73844688" TargetMode="External" Id="rId64" /><Relationship Type="http://schemas.openxmlformats.org/officeDocument/2006/relationships/hyperlink" Target="https://www.cdiscount.com/bricolage/outillage/scie-a-onglets-radiale-metabo-kgs-254-m-1500-w/f-166010106-met4061792218192.html" TargetMode="External" Id="rId65" /><Relationship Type="http://schemas.openxmlformats.org/officeDocument/2006/relationships/hyperlink" Target="https://bauhaus.bg/potapyasht-gerung-cirkulyar-s-izteglyane-metabo-kgs-254-m-pcl/p/136939?search_id=34658882" TargetMode="External" Id="rId66" /><Relationship Type="http://schemas.openxmlformats.org/officeDocument/2006/relationships/hyperlink" Target="https://www.kaufland.de/product/540283893/" TargetMode="External" Id="rId67" /><Relationship Type="http://schemas.openxmlformats.org/officeDocument/2006/relationships/hyperlink" Target="https://www.screwfix.com/p/milwaukee-m18fms254-0-254mm-18v-li-ion-redlithium-high-output-brushless-cordless-double-bevel-sliding-mitre-saw-bare/370xh" TargetMode="External" Id="rId68" /><Relationship Type="http://schemas.openxmlformats.org/officeDocument/2006/relationships/hyperlink" Target="https://www.manomano.es/p/powerplus-powx075740db-ingletadora-telescopica-con-bisel-doble-2200w-254mm-42590999" TargetMode="External" Id="rId69" /><Relationship Type="http://schemas.openxmlformats.org/officeDocument/2006/relationships/hyperlink" Target="https://toolsandhardware.eu/product/probuilder-mitre-saw-255mm-2000w-32891/" TargetMode="External" Id="rId70" /><Relationship Type="http://schemas.openxmlformats.org/officeDocument/2006/relationships/hyperlink" Target="https://www.galaxus.ch/de/s4/product/procraft-pgs256-kappsaege-2000-watt-255-mm-mit-schlitten-saegeblatt-kappsaege-gehrungssaege-65567887" TargetMode="External" Id="rId71" /><Relationship Type="http://schemas.openxmlformats.org/officeDocument/2006/relationships/hyperlink" Target="https://www.idefix.com/rtrmax-rtm6250-radyal-gonye-testere-makinesi-2000-w-305-mm-p-12527014" TargetMode="External" Id="rId72" /><Relationship Type="http://schemas.openxmlformats.org/officeDocument/2006/relationships/hyperlink" Target="https://www.bauhaus.fi/liukujiirisaha-ryobi-ems-254-l" TargetMode="External" Id="rId73" /><Relationship Type="http://schemas.openxmlformats.org/officeDocument/2006/relationships/hyperlink" Target="https://www.jula.pl/catalog/narzedzia-i-maszyny/elektronarzedzia-i-maszyny/pilarki-i-wyrzynarki-stolowe/akumulatorowe-pilarki-ukosowe/pilarka-ukosowa-027221/" TargetMode="External" Id="rId74" /><Relationship Type="http://schemas.openxmlformats.org/officeDocument/2006/relationships/hyperlink" Target="https://www.bauhaus.cz/scheppach-pokosova-a-kapovaci-pila-hm-110-mp-27888889" TargetMode="External" Id="rId75" /><Relationship Type="http://schemas.openxmlformats.org/officeDocument/2006/relationships/hyperlink" Target="https://www.cdiscount.com/bricolage/outillage/scie-a-onglet-radiale-scheppach-hm2254-255-mm/f-166010106-sch4046664288893.html" TargetMode="External" Id="rId76" /><Relationship Type="http://schemas.openxmlformats.org/officeDocument/2006/relationships/hyperlink" Target="https://www.obi.de/p/5305784/scheppach-kapp-zug-und-gehrungssaege-hm254" TargetMode="External" Id="rId77" /><Relationship Type="http://schemas.openxmlformats.org/officeDocument/2006/relationships/hyperlink" Target="https://www.cdiscount.com/bricolage/outillage/scie-a-onglet-radiale-scheppach-254-mm-hm254spx/f-166010106-sch4046664134282.html" TargetMode="External" Id="rId78" /><Relationship Type="http://schemas.openxmlformats.org/officeDocument/2006/relationships/hyperlink" Target="https://toom.de/p/kapp-und-zugsaege-mst-254-black-edition-2000-w-mit-2-saegeblaettern/1501716" TargetMode="External" Id="rId79" /><Relationship Type="http://schemas.openxmlformats.org/officeDocument/2006/relationships/hyperlink" Target="https://www.manomano.es/p/sierra-de-mesa-scheppach-ts25l-1800w-250-mm-58012149953-58476416" TargetMode="External" Id="rId80" /><Relationship Type="http://schemas.openxmlformats.org/officeDocument/2006/relationships/hyperlink" Target="https://www.tooled-up.com/sealey-sms255-double-sliding-compound-mitre-saw-250mm/prod/229248/" TargetMode="External" Id="rId81" /><Relationship Type="http://schemas.openxmlformats.org/officeDocument/2006/relationships/hyperlink" Target="https://www.karwei.nl/assortiment/skil-afkortzaag-verstekzaag-254mm-met-trekfunctie-laser-en-dual-bevel-functie-1320aa-2000w-snelklem/p/B166006" TargetMode="External" Id="rId82" /><Relationship Type="http://schemas.openxmlformats.org/officeDocument/2006/relationships/hyperlink" Target="https://www.karwei.nl/assortiment/skil-afkortzaag-verstekzaag-1321aa-dubbele-verstekfunctie/p/B286463" TargetMode="External" Id="rId83" /><Relationship Type="http://schemas.openxmlformats.org/officeDocument/2006/relationships/hyperlink" Target="https://www.obi.de/p/6646855/stanley-fatmax-paneelsaege-2-000-w-fme720-254-mm" TargetMode="External" Id="rId84" /><Relationship Type="http://schemas.openxmlformats.org/officeDocument/2006/relationships/hyperlink" Target="https://www.bauhaus.cz/stanley-pokosova-pila-sm1800-qs-32387317" TargetMode="External" Id="rId85" /><Relationship Type="http://schemas.openxmlformats.org/officeDocument/2006/relationships/hyperlink" Target="https://ferramentas.pt/serra-de-esquadria-telescopica-255mm-stayer-scr255cw.html" TargetMode="External" Id="rId86" /><Relationship Type="http://schemas.openxmlformats.org/officeDocument/2006/relationships/hyperlink" Target="https://www.diy.com/departments/switzer-mitre-saw-10-inch-compound-sliding-2000w-single-bevel-cut-laser-blade/5055418336451_BQ.prd" TargetMode="External" Id="rId87" /><Relationship Type="http://schemas.openxmlformats.org/officeDocument/2006/relationships/hyperlink" Target="https://www.diy.com/departments/switzer-mitre-saw-10-compound-sliding-1800w-double-bevel-shadow-line-cutting/5055418345163_BQ.prd" TargetMode="External" Id="rId88" /><Relationship Type="http://schemas.openxmlformats.org/officeDocument/2006/relationships/hyperlink" Target="https://www.manomano.es/p/total-tools-ingletadora-telescopica-ts421825517-1800w-89774121" TargetMode="External" Id="rId89" /><Relationship Type="http://schemas.openxmlformats.org/officeDocument/2006/relationships/hyperlink" Target="https://www.manomano.it/p/troncatrice-radiale-valex-trl256l-34936301" TargetMode="External" Id="rId90" /><Relationship Type="http://schemas.openxmlformats.org/officeDocument/2006/relationships/hyperlink" Target="https://www.agromarket.rs/stacionarne-masine/37430-dijagonalna-testera-za-razrezivanjepotezna-vms-2000-255-s" TargetMode="External" Id="rId91" /><Relationship Type="http://schemas.openxmlformats.org/officeDocument/2006/relationships/hyperlink" Target="https://www.praxis.nl/gereedschap-werkplaats/elektrisch-gereedschap/zaagmachines/afkortzagen/vonroc-afkortzaag-2200w-254mm-radiaal-kap-en-verstekzaag-met-laser-en-led/10160968" TargetMode="External" Id="rId92" /><Relationship Type="http://schemas.openxmlformats.org/officeDocument/2006/relationships/hyperlink" Target="https://www.hornbach.de/p/vonroc-profi-kapp-und-gehrungssaege-zug-und-kappsaege-multimaterial-elektrische-saege-2200w-254mm-mit-laser-metall-holz-stahl-jetzt-variante-waehlen/12385633/" TargetMode="External" Id="rId93" /><Relationship Type="http://schemas.openxmlformats.org/officeDocument/2006/relationships/hyperlink" Target="https://allo.ua/ua/torcovochnye-pily/pila-torcjuval-na-yato-yt-82173.html" TargetMode="External" Id="rId94" /><Relationship Type="http://schemas.openxmlformats.org/officeDocument/2006/relationships/hyperlink" Target="https://www.obi.cz/formatovaci-kapovaci-a-pokosove-pily/zipper-pokosova-pila-zi-kgs255ds/p/6710685" TargetMode="External" Id="rId95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hornbach.ch/de/p/atika-tischkreissaege-t-250/10351341/" TargetMode="External" Id="rId1" /><Relationship Type="http://schemas.openxmlformats.org/officeDocument/2006/relationships/hyperlink" Target="https://www.hornbach.de/p/tischkreissaege-atika-t-250-n-3/10272419/" TargetMode="External" Id="rId2" /><Relationship Type="http://schemas.openxmlformats.org/officeDocument/2006/relationships/hyperlink" Target="https://toolsandhardware.eu/product/atika-t250-eco-3-saw-a302646/" TargetMode="External" Id="rId3" /><Relationship Type="http://schemas.openxmlformats.org/officeDocument/2006/relationships/hyperlink" Target="https://www.idefix.com/attlas-gms-250-z-tezgah-testere-2000-w-a0701018-p-17498537" TargetMode="External" Id="rId4" /><Relationship Type="http://schemas.openxmlformats.org/officeDocument/2006/relationships/hyperlink" Target="https://www.otto.de/p/bamato-tischkreissaege-bts-250pro-mit-254mm-saegeblatt-3-1kw-kreissaege-230v-1-st-xxl-zubehoer-schwenkbar-hochwertige-fuehrung-stabiler-anschlag-S0L7Z0W9/" TargetMode="External" Id="rId5" /><Relationship Type="http://schemas.openxmlformats.org/officeDocument/2006/relationships/hyperlink" Target="https://www.obsbygg.no/verktoy-og-tilbehor/elektroverktoy/bordsager/2156375?v=ObsBygg-5035048712412" TargetMode="External" Id="rId6" /><Relationship Type="http://schemas.openxmlformats.org/officeDocument/2006/relationships/hyperlink" Target="https://ferramentas.pt/serra-de-mesa-expert-exts100-254x-bosch-0-601-b30-800.html" TargetMode="External" Id="rId7" /><Relationship Type="http://schemas.openxmlformats.org/officeDocument/2006/relationships/hyperlink" Target="https://www.globus-baumarkt.de/p/bosch-professional-tischkreissaege-gts-10-j-1800-w-0761101438/" TargetMode="External" Id="rId8" /><Relationship Type="http://schemas.openxmlformats.org/officeDocument/2006/relationships/hyperlink" Target="https://www.manomano.de/p/bosch-professional-gts-10-xc-tischkreissaege-0601b30400-75281156?model_id=1142062" TargetMode="External" Id="rId9" /><Relationship Type="http://schemas.openxmlformats.org/officeDocument/2006/relationships/hyperlink" Target="https://www.emag.ro/ferastrau-circular-de-banc-bosch-professional-gts-254-1800-w-254-mm-diametru-panza-555x555-mm-dimensiune-masa-4300-rpm-panza-fierastrau-0601b45000/pd/DBW8KJMBM/" TargetMode="External" Id="rId10" /><Relationship Type="http://schemas.openxmlformats.org/officeDocument/2006/relationships/hyperlink" Target="https://www.alternate.de/Bosch-Professional/Tischs&#228;ge-GTS100-254-Tischkreiss&#228;ge/html/product/100206366" TargetMode="External" Id="rId11" /><Relationship Type="http://schemas.openxmlformats.org/officeDocument/2006/relationships/hyperlink" Target="https://www.diy.com/departments/charnwood-w629-10-cast-iron-table-saw-with-sliding-carriage/5060281699978_BQ.prd" TargetMode="External" Id="rId12" /><Relationship Type="http://schemas.openxmlformats.org/officeDocument/2006/relationships/hyperlink" Target="https://www.obi.sk/stolove-kotucove-pily/cmi-stolova-kotucova-pila-c-tks-1600/p/4780250" TargetMode="External" Id="rId13" /><Relationship Type="http://schemas.openxmlformats.org/officeDocument/2006/relationships/hyperlink" Target="https://www.obi.at/p/4164554/cmi-tischkreissaege-c-tks-1600-eco" TargetMode="External" Id="rId14" /><Relationship Type="http://schemas.openxmlformats.org/officeDocument/2006/relationships/hyperlink" Target="https://www.emag.hu/dedra-asztali-korfuresz-254-mm-2000-w-3-db-korfureszlap-ded7754t3/pd/DDPXZCYBM/" TargetMode="External" Id="rId15" /><Relationship Type="http://schemas.openxmlformats.org/officeDocument/2006/relationships/hyperlink" Target="https://www.leroymerlin.ro/produse/fierastrau-circular-cu-masa-detoolz-dz-c236-1800-w-250-mm-12047952.html" TargetMode="External" Id="rId16" /><Relationship Type="http://schemas.openxmlformats.org/officeDocument/2006/relationships/hyperlink" Target="https://www.obi.cz/stolni-kotoucove-pily/dewalt-stolni-kotoucova-pila-dwe7492-qs-2-000-w-250-mm/p/7122591" TargetMode="External" Id="rId17" /><Relationship Type="http://schemas.openxmlformats.org/officeDocument/2006/relationships/hyperlink" Target="https://www.toolstation.com/draper-sliding-table-saw-250mm-1800w/p28138" TargetMode="External" Id="rId18" /><Relationship Type="http://schemas.openxmlformats.org/officeDocument/2006/relationships/hyperlink" Target="https://toom.de/p/tischkreissaege-tc-ts-2000-u-rot-1800-w/1501705" TargetMode="External" Id="rId19" /><Relationship Type="http://schemas.openxmlformats.org/officeDocument/2006/relationships/hyperlink" Target="https://www.leroymerlin.it/prodotti/troncatrice-sega-circolare-per-legno-2000w-250mm-con-banco-banchetto-einhell-tc-ts-2025-1-ua-91470820.html" TargetMode="External" Id="rId20" /><Relationship Type="http://schemas.openxmlformats.org/officeDocument/2006/relationships/hyperlink" Target="https://www.globus-baumarkt.de/p/einhell-tischkreissaege-tc-ts-2025-2-u-1800-w-5000-min-1-0761101786/" TargetMode="External" Id="rId21" /><Relationship Type="http://schemas.openxmlformats.org/officeDocument/2006/relationships/hyperlink" Target="https://www.obi.de/p/9232133/einhell-tischkreissaege-tc-ts-2025-3-eco" TargetMode="External" Id="rId22" /><Relationship Type="http://schemas.openxmlformats.org/officeDocument/2006/relationships/hyperlink" Target="https://www.globus-baumarkt.de/p/einhell-tischkreissaege-tc-ts-2225-u-1800-w-4250-min-1-0761101783/" TargetMode="External" Id="rId23" /><Relationship Type="http://schemas.openxmlformats.org/officeDocument/2006/relationships/hyperlink" Target="https://www.manomano.de/p/einhell-tischkreissaege-tc-ts-254-eco-4340505-17808641" TargetMode="External" Id="rId24" /><Relationship Type="http://schemas.openxmlformats.org/officeDocument/2006/relationships/hyperlink" Target="https://www.emag.hu/einhell-tc-ts-254-eco-asztali-korfuresz-2050-w-4250-fordulat-perc-254-mm-x-30-mm-fureszlap-4340505/pd/D0J5V3MBM/" TargetMode="External" Id="rId25" /><Relationship Type="http://schemas.openxmlformats.org/officeDocument/2006/relationships/hyperlink" Target="https://www.obi.de/p/6385413/einhell-tischkreissaege-tc-ts-254-u-2-200-w" TargetMode="External" Id="rId26" /><Relationship Type="http://schemas.openxmlformats.org/officeDocument/2006/relationships/hyperlink" Target="https://www.globus-baumarkt.de/p/einhell-expert-tischkreissaege-te-cc-250-uf-klappbar-trolleyfunktion-0761101822/" TargetMode="External" Id="rId27" /><Relationship Type="http://schemas.openxmlformats.org/officeDocument/2006/relationships/hyperlink" Target="https://www.toolstation.nl/einhell-te-ts-10-t-elektrische-zaagtafel/p92880" TargetMode="External" Id="rId28" /><Relationship Type="http://schemas.openxmlformats.org/officeDocument/2006/relationships/hyperlink" Target="https://www.hornbach.cz/p/stolni-kotoucova-pila-einhell-te-ts-250-uf-4340568/12513900/" TargetMode="External" Id="rId29" /><Relationship Type="http://schemas.openxmlformats.org/officeDocument/2006/relationships/hyperlink" Target="https://www.obi.de/p/8569600/einhell-tischkreissaege-te-ts-254-t" TargetMode="External" Id="rId30" /><Relationship Type="http://schemas.openxmlformats.org/officeDocument/2006/relationships/hyperlink" Target="https://www.otto.de/p/einhell-akku-tischkreissaege-te-ts-36-10-t-li-solo-ohne-akku-und-ladegeraet-C2083335256/" TargetMode="External" Id="rId31" /><Relationship Type="http://schemas.openxmlformats.org/officeDocument/2006/relationships/hyperlink" Target="https://www.obi.at/p/2191179494832/einhell-tischkreissaege-tp-cc-10-t-schiebetisch-2-000-w-254-mm" TargetMode="External" Id="rId32" /><Relationship Type="http://schemas.openxmlformats.org/officeDocument/2006/relationships/hyperlink" Target="https://www.castorama.fr/scie-sur-table-erbauer-ets2000-2000w-254mm/5059340270074_CAFR.prd" TargetMode="External" Id="rId33" /><Relationship Type="http://schemas.openxmlformats.org/officeDocument/2006/relationships/hyperlink" Target="https://www.diy.com/departments/evolution-056-0001a-fury5-s-plus-multi-purpose-table-saw-1500w-240v-evlfury5tspp/0849713096531_BQ.prd" TargetMode="External" Id="rId34" /><Relationship Type="http://schemas.openxmlformats.org/officeDocument/2006/relationships/hyperlink" Target="https://evolutionpowertools.it/products/banco-sega-evolution-r255mts-con-lama-tct-multi-materiale-da-255-mm?_pos=5&amp;_sid=41f00e778&amp;_ss=r" TargetMode="External" Id="rId35" /><Relationship Type="http://schemas.openxmlformats.org/officeDocument/2006/relationships/hyperlink" Target="https://www.screwfix.ie/p/evolution-r255pts-255mm-electric-table-saw-230v/205jp" TargetMode="External" Id="rId36" /><Relationship Type="http://schemas.openxmlformats.org/officeDocument/2006/relationships/hyperlink" Target="https://evolutionpowertools.it/products/banco-sega-evolution-r255tbl-1650w-con-lama-da-255mm-multi-materiale-tct?_pos=10&amp;_sid=41f00e778&amp;_ss=r" TargetMode="External" Id="rId37" /><Relationship Type="http://schemas.openxmlformats.org/officeDocument/2006/relationships/hyperlink" Target="https://www.praxis.nl/gereedschap-werkplaats/elektrisch-gereedschap/zaagmachines/zaagtafels/evolution-tafelzaag-r255tblx-1650w-gesnoerd/10415205" TargetMode="External" Id="rId38" /><Relationship Type="http://schemas.openxmlformats.org/officeDocument/2006/relationships/hyperlink" Target="https://www.wowtools.co.uk/power-tools/saws/table-saws/excel-30961-254mm-portable-table-saw-240v-1800w.htm" TargetMode="External" Id="rId39" /><Relationship Type="http://schemas.openxmlformats.org/officeDocument/2006/relationships/hyperlink" Target="https://www.wowtools.co.uk/power-tools/saws/table-saws/excel-32141-254mm-extendable-table-saw-240v-1800w.htm" TargetMode="External" Id="rId40" /><Relationship Type="http://schemas.openxmlformats.org/officeDocument/2006/relationships/hyperlink" Target="https://www.wowtools.co.uk/power-tools/saws/table-saws/excel-6293-250mm-table-saw-240v-1800w-with-legstand-side-extensions-blade.htm" TargetMode="External" Id="rId41" /><Relationship Type="http://schemas.openxmlformats.org/officeDocument/2006/relationships/hyperlink" Target="https://www.diy.com/departments/excel-250mm-table-saw-1800w-heavy-duty-240v-with-leg-stand-blade-guard-side-extensions-for-diy-trade-use/0743031863304_BQ.prd" TargetMode="External" Id="rId42" /><Relationship Type="http://schemas.openxmlformats.org/officeDocument/2006/relationships/hyperlink" Target="https://www.manomano.de/p/fartools-tischsge-1600-w-250-mm-ts-1800b-42468660" TargetMode="External" Id="rId43" /><Relationship Type="http://schemas.openxmlformats.org/officeDocument/2006/relationships/hyperlink" Target="https://www.castorama.fr/mkp/scie-de-table-1600w-ts-1800c-250x30mm-36-dents-fartools-113399/3431541133990_CAFR.prd" TargetMode="External" Id="rId44" /><Relationship Type="http://schemas.openxmlformats.org/officeDocument/2006/relationships/hyperlink" Target="https://www.leroymerlin.it/prodotti/femi-8450025-banco-sega-elettrico-per-legno-1800-watt-48x64-cm-universale-83088828.html" TargetMode="External" Id="rId45" /><Relationship Type="http://schemas.openxmlformats.org/officeDocument/2006/relationships/hyperlink" Target="https://www.praxis.nl/gereedschap-werkplaats/elektrisch-gereedschap/zaagmachines/zaagtafels/ferm-zaagtafel-250mm-t40-1800w/5514581" TargetMode="External" Id="rId46" /><Relationship Type="http://schemas.openxmlformats.org/officeDocument/2006/relationships/hyperlink" Target="https://www.manomano.de/p/festool-tischkreissaege-tks-80-ebs-set-575828-18063287?model_id=17803396" TargetMode="External" Id="rId47" /><Relationship Type="http://schemas.openxmlformats.org/officeDocument/2006/relationships/hyperlink" Target="https://www.k-rauta.fi/tuote/poytasaha-fxa-1800w-250mm/6438313565468" TargetMode="External" Id="rId48" /><Relationship Type="http://schemas.openxmlformats.org/officeDocument/2006/relationships/hyperlink" Target="https://www.manomano.de/p/gde-tischkreissge-gtk-2000-a-55605-32678415" TargetMode="External" Id="rId49" /><Relationship Type="http://schemas.openxmlformats.org/officeDocument/2006/relationships/hyperlink" Target="https://www.manomano.de/p/gde-tischkreissge-gtk-20001-55262-32678402" TargetMode="External" Id="rId50" /><Relationship Type="http://schemas.openxmlformats.org/officeDocument/2006/relationships/hyperlink" Target="https://www.idefix.com/hais-zb-255a-tezgah-testere-2000-watt-p-4580968" TargetMode="External" Id="rId51" /><Relationship Type="http://schemas.openxmlformats.org/officeDocument/2006/relationships/hyperlink" Target="https://cz.hecht.cz/stolni-kotoucova-pila-hecht-8254-334701" TargetMode="External" Id="rId52" /><Relationship Type="http://schemas.openxmlformats.org/officeDocument/2006/relationships/hyperlink" Target="https://www.bauhaus.cz/hikoki-okruzni-pila-c10rjwaz-32158425" TargetMode="External" Id="rId53" /><Relationship Type="http://schemas.openxmlformats.org/officeDocument/2006/relationships/hyperlink" Target="https://www.hornbach.de/p/tischkreissaege-holzmann-tk255-inkl-untergestell-und-saegeblatt/6791495/" TargetMode="External" Id="rId54" /><Relationship Type="http://schemas.openxmlformats.org/officeDocument/2006/relationships/hyperlink" Target="https://www.obi.de/p/1094358/holzmann-tischkreissaege-ts250-mit-400-v-3-100-w" TargetMode="External" Id="rId55" /><Relationship Type="http://schemas.openxmlformats.org/officeDocument/2006/relationships/hyperlink" Target="https://www.hornbach.de/p/praezisionskreissaege-holzmann-maschinen-ts250f-230-v/5608444/" TargetMode="External" Id="rId56" /><Relationship Type="http://schemas.openxmlformats.org/officeDocument/2006/relationships/hyperlink" Target="https://www.manomano.de/p/holzstar-tischkreissge-tks-254-e-400-v-5902026-45633442" TargetMode="External" Id="rId57" /><Relationship Type="http://schemas.openxmlformats.org/officeDocument/2006/relationships/hyperlink" Target="https://www.manomano.de/p/holzstar-tischkreissaege-tks-254-pro-400v-5902028-11429603?model_id=11429603" TargetMode="External" Id="rId58" /><Relationship Type="http://schemas.openxmlformats.org/officeDocument/2006/relationships/hyperlink" Target="https://www.manomano.de/p/holzstar-tischkreissage-tks-256-m-251698293" TargetMode="External" Id="rId59" /><Relationship Type="http://schemas.openxmlformats.org/officeDocument/2006/relationships/hyperlink" Target="https://www.gamma.nl/assortiment/hyundai-zaagtafel-1500w-250mm-24t/p/B207110" TargetMode="External" Id="rId60" /><Relationship Type="http://schemas.openxmlformats.org/officeDocument/2006/relationships/hyperlink" Target="https://www.obi.hu/asztali-koerfureszek/hyundai-hyd-254b-asztali-koerfuresz/p/4003679" TargetMode="External" Id="rId61" /><Relationship Type="http://schemas.openxmlformats.org/officeDocument/2006/relationships/hyperlink" Target="https://www.sitebox.ltd.uk/hyundai-hyts1800e-1800w-10-30mm-electric-table-saw-230v-hyts1800e-oHYTS1800E" TargetMode="External" Id="rId62" /><Relationship Type="http://schemas.openxmlformats.org/officeDocument/2006/relationships/hyperlink" Target="https://www.manomano.de/p/kreissaege-400v-28kw-jet-jts-600x-t-36624586" TargetMode="External" Id="rId63" /><Relationship Type="http://schemas.openxmlformats.org/officeDocument/2006/relationships/hyperlink" Target="https://www.axminstertools.com/laguna-f1-fusion-table-saw-230v-ax1064332" TargetMode="External" Id="rId64" /><Relationship Type="http://schemas.openxmlformats.org/officeDocument/2006/relationships/hyperlink" Target="https://www.manomano.fr/p/scie-sur-table-avec-chariot-255-mm-1224004" TargetMode="External" Id="rId65" /><Relationship Type="http://schemas.openxmlformats.org/officeDocument/2006/relationships/hyperlink" Target="https://www.lumberjacktools.co.uk/table-saws/lumberjack-pro-series-10-cast-iron-table-saw-wheel-kit-1800w/p-lum00205" TargetMode="External" Id="rId66" /><Relationship Type="http://schemas.openxmlformats.org/officeDocument/2006/relationships/hyperlink" Target="https://www.diy.com/departments/lumberjack-cast-iron-table-saw-10-pro-series-with-wheel-kit-1800w-induction-motor/5060504005524_BQ.prd" TargetMode="External" Id="rId67" /><Relationship Type="http://schemas.openxmlformats.org/officeDocument/2006/relationships/hyperlink" Target="https://www.lumberjacktools.co.uk/table-saws/lumberjack-10-portable-table-saw-compact-for-jobsite-use-2000w-230v/p-lum00173" TargetMode="External" Id="rId68" /><Relationship Type="http://schemas.openxmlformats.org/officeDocument/2006/relationships/hyperlink" Target="https://www.lumberjacktools.co.uk/table-saws/lumberjack-10-portable-folding-table-saw-trade-site-work-horse/p-lum00119" TargetMode="External" Id="rId69" /><Relationship Type="http://schemas.openxmlformats.org/officeDocument/2006/relationships/hyperlink" Target="https://www.castorama.fr/scie-sur-table-mac-allister-254-mm-1500w/5059340270050_CAFR.prd" TargetMode="External" Id="rId70" /><Relationship Type="http://schemas.openxmlformats.org/officeDocument/2006/relationships/hyperlink" Target="https://www.howetools.co.uk/makita-2704n-110v-table-saw-260mm-blade" TargetMode="External" Id="rId71" /><Relationship Type="http://schemas.openxmlformats.org/officeDocument/2006/relationships/hyperlink" Target="https://www.obi.cz/stolni-kotoucove-pily/makita-stolni-pila-mlt100n-255-mm-1500-w/p/5638754" TargetMode="External" Id="rId72" /><Relationship Type="http://schemas.openxmlformats.org/officeDocument/2006/relationships/hyperlink" Target="https://www.obsbygg.no/verktoy-og-tilbehor/elektroverktoy/bordsager/2156834?v=ObsBygg-4007430214188" TargetMode="External" Id="rId73" /><Relationship Type="http://schemas.openxmlformats.org/officeDocument/2006/relationships/hyperlink" Target="https://www.obi.de/p/8268666/metabo-tischkreissaege-ts-254-m" TargetMode="External" Id="rId74" /><Relationship Type="http://schemas.openxmlformats.org/officeDocument/2006/relationships/hyperlink" Target="https://www.manomano.de/p/mophorn-tischkreissage-mit-stander-254-mm-1800-w-tragbare-kompakte-tischkreissage-200-mm-maximale-schnittkapazitat-4800-umin-schnittgeschwindigkeit-mit-24-zahn-sageblatt-85734451" TargetMode="External" Id="rId75" /><Relationship Type="http://schemas.openxmlformats.org/officeDocument/2006/relationships/hyperlink" Target="https://www.skroutz.gr/s/63170216/table-circular-saw-notig-tools-2200w-250x30-mm-n4130.html" TargetMode="External" Id="rId76" /><Relationship Type="http://schemas.openxmlformats.org/officeDocument/2006/relationships/hyperlink" Target="https://www.galaxus.nl/nl/s4/product/okko-table-saw-m1h-zp5-250-250mm-1800w-tafelcirkelzagen-57616880" TargetMode="External" Id="rId77" /><Relationship Type="http://schemas.openxmlformats.org/officeDocument/2006/relationships/hyperlink" Target="https://www.lidl.de/p/parkside-tischkreissaege-ptks-2200-a1/p100408496" TargetMode="External" Id="rId78" /><Relationship Type="http://schemas.openxmlformats.org/officeDocument/2006/relationships/hyperlink" Target="https://www.axminstertools.com/perform-pd254ts-254mm-saw-bench-230v-113359" TargetMode="External" Id="rId79" /><Relationship Type="http://schemas.openxmlformats.org/officeDocument/2006/relationships/hyperlink" Target="https://www.castorama.fr/scie-sur-table-peugeot-254b3bp-1800w-254-x-30-mm/3611351320043_CAFR.prd" TargetMode="External" Id="rId80" /><Relationship Type="http://schemas.openxmlformats.org/officeDocument/2006/relationships/hyperlink" Target="https://www.castorama.fr/scie-sur-table-peugeot-energysaw-254b3-1800w/3611351320036_CAFR.prd" TargetMode="External" Id="rId81" /><Relationship Type="http://schemas.openxmlformats.org/officeDocument/2006/relationships/hyperlink" Target="https://www.manomano.fr/p/powerplus-scie-sur-table-2000w-250mm-powx07595-18400542" TargetMode="External" Id="rId82" /><Relationship Type="http://schemas.openxmlformats.org/officeDocument/2006/relationships/hyperlink" Target="https://www.manomano.fr/p/scie-table-2000w-250mm-40980777" TargetMode="External" Id="rId83" /><Relationship Type="http://schemas.openxmlformats.org/officeDocument/2006/relationships/hyperlink" Target="https://www.motonet.fi/tuote/probuilder-poytasirkkeli-250-mm-1800-w?product=70-22127" TargetMode="External" Id="rId84" /><Relationship Type="http://schemas.openxmlformats.org/officeDocument/2006/relationships/hyperlink" Target="https://toolbrothers.nl/products/procraft-kr2800-tischkreissage-2000-watt-254-mm-sageblatt?_ds_source=search&amp;_ds_query=afkortzaag+254&amp;_ds_sid=sq_1792558904622_5s9mawnlx" TargetMode="External" Id="rId85" /><Relationship Type="http://schemas.openxmlformats.org/officeDocument/2006/relationships/hyperlink" Target="https://www.idefix.com/proter-pr-250-tm-2000-w-sehbali-tezgah-testere-2000w-p-4780081" TargetMode="External" Id="rId86" /><Relationship Type="http://schemas.openxmlformats.org/officeDocument/2006/relationships/hyperlink" Target="https://www.idefix.com/rtrmax-tezgah-testere-2000-w-255-mm-p-31235474" TargetMode="External" Id="rId87" /><Relationship Type="http://schemas.openxmlformats.org/officeDocument/2006/relationships/hyperlink" Target="https://www.manomano.de/p/sah-auf-elektrischen-tisch-ryobi-1800w-254mm-rts1800-g-414477" TargetMode="External" Id="rId88" /><Relationship Type="http://schemas.openxmlformats.org/officeDocument/2006/relationships/hyperlink" Target="https://www.castorama.fr/mkp/ryobi-scie-sur-table-1-800-w-table-alu-pietement-retractable-lame-254mm-48-dents-guide-parallele-poussoir-rts1800ef-g/4892210125996_CAFR.prd" TargetMode="External" Id="rId89" /><Relationship Type="http://schemas.openxmlformats.org/officeDocument/2006/relationships/hyperlink" Target="https://www.cdiscount.com/bricolage/outillage/ryobi-scie-sur-table-1-800-w-pietement-retract/f-166010106-5133002221.html" TargetMode="External" Id="rId90" /><Relationship Type="http://schemas.openxmlformats.org/officeDocument/2006/relationships/hyperlink" Target="https://www.sautershop-de.com/en-int/sawstop-cts-table-saw-saw-cts-230b50eu" TargetMode="External" Id="rId91" /><Relationship Type="http://schemas.openxmlformats.org/officeDocument/2006/relationships/hyperlink" Target="https://www.obi.sk/stolove-kotucove-pily/scheppach-stolova-kotucova-pila-hs100s/p/4984324" TargetMode="External" Id="rId92" /><Relationship Type="http://schemas.openxmlformats.org/officeDocument/2006/relationships/hyperlink" Target="https://www.manomano.de/p/scheppach-tischkreissage-hs105-profi-gerat-2000w-schnitthohe-75mm-sagebl-255mm-88577959" TargetMode="External" Id="rId93" /><Relationship Type="http://schemas.openxmlformats.org/officeDocument/2006/relationships/hyperlink" Target="https://toom.de/p/tischkreissaege-hs110-2000-w/10507536" TargetMode="External" Id="rId94" /><Relationship Type="http://schemas.openxmlformats.org/officeDocument/2006/relationships/hyperlink" Target="https://www.manomano.de/p/scheppach-tischkreissaege-hs115-2000w-mit-untergestell-2-tischverbreiterungen-43866156" TargetMode="External" Id="rId95" /><Relationship Type="http://schemas.openxmlformats.org/officeDocument/2006/relationships/hyperlink" Target="https://www.obi.de/p/5306006/scheppach-tischkreissaege-hs254" TargetMode="External" Id="rId96" /><Relationship Type="http://schemas.openxmlformats.org/officeDocument/2006/relationships/hyperlink" Target="https://www.castorama.fr/mkp/scie-sur-table-2000-w-diam-255-mm-scheppach-sst255-75atg-dition-black-edition-pi-tement-inclus/4046664169352_CAFR.prd" TargetMode="External" Id="rId97" /><Relationship Type="http://schemas.openxmlformats.org/officeDocument/2006/relationships/hyperlink" Target="https://www.tooled-up.com/sealey-ts10p-table-saw-254mm/prod/239325/" TargetMode="External" Id="rId98" /><Relationship Type="http://schemas.openxmlformats.org/officeDocument/2006/relationships/hyperlink" Target="https://www.wowtools.co.uk/power-tools/saws/table-saws/sip-10-professional-cast-iron-table-saw-01332-1.htm" TargetMode="External" Id="rId99" /><Relationship Type="http://schemas.openxmlformats.org/officeDocument/2006/relationships/hyperlink" Target="https://www.wowtools.co.uk/power-tools/saws/table-saws/sip-10-quot-compact-cast-iron-table-saw.htm" TargetMode="External" Id="rId100" /><Relationship Type="http://schemas.openxmlformats.org/officeDocument/2006/relationships/hyperlink" Target="https://sitebox.ltd.uk/sip-10-table-saw-and-stand-code-01986-osip_01986" TargetMode="External" Id="rId101" /><Relationship Type="http://schemas.openxmlformats.org/officeDocument/2006/relationships/hyperlink" Target="https://www.obsbygg.no/verktoy-og-tilbehor/elektroverktoy/bordsager/2973511?v=ObsBygg-8719643004543" TargetMode="External" Id="rId102" /><Relationship Type="http://schemas.openxmlformats.org/officeDocument/2006/relationships/hyperlink" Target="https://toolsandhardware.eu/product/skil-1343aa-254mm-table-saw-with-rolling-stand-bt1e1343aa/" TargetMode="External" Id="rId103" /><Relationship Type="http://schemas.openxmlformats.org/officeDocument/2006/relationships/hyperlink" Target="https://www.manomano.de/p/valex-bs2031-kreissge-fr-holz-mit-250-mm-sgeblatt-44186441" TargetMode="External" Id="rId104" /><Relationship Type="http://schemas.openxmlformats.org/officeDocument/2006/relationships/hyperlink" Target="https://www.darty.com/nav/achat/ref/MC351449752.html" TargetMode="External" Id="rId105" /><Relationship Type="http://schemas.openxmlformats.org/officeDocument/2006/relationships/hyperlink" Target="https://www.manomano.de/p/vevor-tischkreissaege-4800u-min-1800w-schnitttiefe-55-85mm-parallelanschlag-70083313" TargetMode="External" Id="rId106" /><Relationship Type="http://schemas.openxmlformats.org/officeDocument/2006/relationships/hyperlink" Target="https://www.agromarket.rs/stacionarne-masine/9827-stoni-cirkular-villager-vts-1810" TargetMode="External" Id="rId107" /><Relationship Type="http://schemas.openxmlformats.org/officeDocument/2006/relationships/hyperlink" Target="https://www.praxis.nl/gereedschap-werkplaats/elektrisch-gereedschap/zaagmachines/zaagtafels/vonroc-zaagtafel-2000w-250mm-zaaghoek-instelbaar-soft-start-incl-60t-zaagblad-en-onderstel/10543817" TargetMode="External" Id="rId108" /><Relationship Type="http://schemas.openxmlformats.org/officeDocument/2006/relationships/hyperlink" Target="https://www.skroutz.gr/s/23931534/Yato-YT-82165-Diskopriono-Pagou-me-Ischy-1800W-Disko-Kopis-Diametrou-250mm.html" TargetMode="External" Id="rId10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1" customWidth="1" min="3" max="3"/>
    <col width="16" customWidth="1" min="4" max="4"/>
    <col width="14" customWidth="1" min="5" max="5"/>
    <col width="9" customWidth="1" min="6" max="6"/>
    <col width="13" customWidth="1" min="7" max="7"/>
    <col width="10" customWidth="1" min="8" max="8"/>
    <col width="13" customWidth="1" min="9" max="9"/>
    <col width="8" customWidth="1" min="10" max="10"/>
    <col width="8" customWidth="1" min="11" max="11"/>
    <col width="40" customWidth="1" min="12" max="12"/>
    <col width="13" customWidth="1" min="13" max="13"/>
    <col width="36" customWidth="1" min="14" max="14"/>
    <col width="10" customWidth="1" min="15" max="15"/>
  </cols>
  <sheetData>
    <row r="1">
      <c r="A1" s="1" t="inlineStr">
        <is>
          <t>Model #</t>
        </is>
      </c>
      <c r="B1" s="1" t="inlineStr">
        <is>
          <t>Image</t>
        </is>
      </c>
      <c r="C1" s="1" t="inlineStr">
        <is>
          <t>零售／OEM</t>
        </is>
      </c>
      <c r="D1" s="1" t="inlineStr">
        <is>
          <t>Brand</t>
        </is>
      </c>
      <c r="E1" s="1" t="inlineStr">
        <is>
          <t>Type</t>
        </is>
      </c>
      <c r="F1" s="1" t="inlineStr">
        <is>
          <t>Bevel</t>
        </is>
      </c>
      <c r="G1" s="1" t="inlineStr">
        <is>
          <t>Slide</t>
        </is>
      </c>
      <c r="H1" s="1" t="inlineStr">
        <is>
          <t>Blade Diameter</t>
        </is>
      </c>
      <c r="I1" s="1" t="inlineStr">
        <is>
          <t>Blade Range</t>
        </is>
      </c>
      <c r="J1" s="1" t="inlineStr">
        <is>
          <t>Watt</t>
        </is>
      </c>
      <c r="K1" s="1" t="inlineStr">
        <is>
          <t>RPM</t>
        </is>
      </c>
      <c r="L1" s="1" t="inlineStr">
        <is>
          <t>Source</t>
        </is>
      </c>
      <c r="M1" s="1" t="inlineStr">
        <is>
          <t>Price</t>
        </is>
      </c>
      <c r="N1" s="1" t="inlineStr">
        <is>
          <t>通路</t>
        </is>
      </c>
      <c r="O1" s="1" t="inlineStr">
        <is>
          <t>機種類別</t>
        </is>
      </c>
    </row>
    <row r="2">
      <c r="A2" t="inlineStr">
        <is>
          <t>CHT-6255</t>
        </is>
      </c>
      <c r="B2">
        <f>IMAGE("https://productimages.hepsiburada.net/s/777/424-600/110001754451790.jpg/format:webp")</f>
        <v/>
      </c>
      <c r="C2" t="inlineStr">
        <is>
          <t>零售品牌</t>
        </is>
      </c>
      <c r="D2" t="inlineStr">
        <is>
          <t>Chattel</t>
        </is>
      </c>
      <c r="E2" t="inlineStr">
        <is>
          <t>1.Miter Base</t>
        </is>
      </c>
      <c r="F2" t="inlineStr"/>
      <c r="G2" t="inlineStr">
        <is>
          <t>No</t>
        </is>
      </c>
      <c r="H2" t="n">
        <v>255</v>
      </c>
      <c r="I2" t="inlineStr">
        <is>
          <t>Ø222~267mm</t>
        </is>
      </c>
      <c r="J2" t="n">
        <v>1800</v>
      </c>
      <c r="K2" t="inlineStr"/>
      <c r="L2" t="inlineStr">
        <is>
          <t>https://www.hepsiburada.com/chattel-cht-6255-elektrikli-gonye-kesme-makinasi-1800-w-255-mm-tepsi-ayarli-gonye-makinasi-pm-HBC0000EUNMQG</t>
        </is>
      </c>
      <c r="M2" s="2" t="n">
        <v>296.06</v>
      </c>
      <c r="N2" t="inlineStr">
        <is>
          <t>Hepsiburada（TR）</t>
        </is>
      </c>
      <c r="O2" t="inlineStr">
        <is>
          <t>一般</t>
        </is>
      </c>
    </row>
    <row r="3">
      <c r="A3" t="inlineStr">
        <is>
          <t>TC-MS 2513 L</t>
        </is>
      </c>
      <c r="B3">
        <f>IMAGE("https://static.lceassets.com/thumbnails/86/86dc7505fbab261bfb39c483379a917eba45e1a7/scie-a-onglet-th-ms-2513-l-einhell-l-821-521900-1-jpg-square-1000x1000.jpg")</f>
        <v/>
      </c>
      <c r="C3" t="inlineStr">
        <is>
          <t>OEM 品牌</t>
        </is>
      </c>
      <c r="D3" t="inlineStr">
        <is>
          <t>Einhell</t>
        </is>
      </c>
      <c r="E3" t="inlineStr">
        <is>
          <t>1.Miter Base</t>
        </is>
      </c>
      <c r="F3" t="inlineStr">
        <is>
          <t>Single</t>
        </is>
      </c>
      <c r="G3" t="inlineStr">
        <is>
          <t>No</t>
        </is>
      </c>
      <c r="H3" t="n">
        <v>250</v>
      </c>
      <c r="I3" t="inlineStr">
        <is>
          <t>Ø222~267mm</t>
        </is>
      </c>
      <c r="J3" t="n">
        <v>1600</v>
      </c>
      <c r="K3" t="n">
        <v>4000</v>
      </c>
      <c r="L3" t="inlineStr">
        <is>
          <t>https://www.bricozor.com/scie-onglet-laser-tc-ms-2513-einhell.html</t>
        </is>
      </c>
      <c r="M3" s="2" t="n">
        <v>168.9</v>
      </c>
      <c r="N3" t="inlineStr">
        <is>
          <t>Bricozor（FR）（可預訂）；Darty（FR）；OTTO（DE）（不採計：這頁沒有型號或刀徑原文）</t>
        </is>
      </c>
      <c r="O3" t="inlineStr">
        <is>
          <t>一般</t>
        </is>
      </c>
    </row>
    <row r="4">
      <c r="A4" t="inlineStr">
        <is>
          <t>75388</t>
        </is>
      </c>
      <c r="B4">
        <f>IMAGE("https://cdn.manomano.com/pim-media/images/medium/925e5ba30cfb729edd339c512b6e9d96764fb9af.jpg")</f>
        <v/>
      </c>
      <c r="C4" t="inlineStr">
        <is>
          <t>零售品牌</t>
        </is>
      </c>
      <c r="D4" t="inlineStr">
        <is>
          <t>Ingco</t>
        </is>
      </c>
      <c r="E4" t="inlineStr">
        <is>
          <t>1.Miter Base</t>
        </is>
      </c>
      <c r="F4" t="inlineStr">
        <is>
          <t>Single</t>
        </is>
      </c>
      <c r="G4" t="inlineStr">
        <is>
          <t>No</t>
        </is>
      </c>
      <c r="H4" t="n">
        <v>254</v>
      </c>
      <c r="I4" t="inlineStr">
        <is>
          <t>Ø222~267mm</t>
        </is>
      </c>
      <c r="J4" t="n">
        <v>1800</v>
      </c>
      <c r="K4" t="n">
        <v>4500</v>
      </c>
      <c r="L4" t="inlineStr">
        <is>
          <t>https://www.manomano.it/p/troncatrice-professionale-da-1800-watt-ingco-con-disco-da-254-mm-tct-serie-industrial-49503061</t>
        </is>
      </c>
      <c r="M4" s="2" t="n">
        <v>279.9</v>
      </c>
      <c r="N4" t="inlineStr">
        <is>
          <t>ManoMano.it（IT）</t>
        </is>
      </c>
      <c r="O4" t="inlineStr">
        <is>
          <t>一般</t>
        </is>
      </c>
    </row>
    <row r="5">
      <c r="A5" t="inlineStr">
        <is>
          <t>KE255GK</t>
        </is>
      </c>
      <c r="B5">
        <f>IMAGE("https://image01.idefix.com/resize/569/0/product/19029327/kleco-gonye-kesme-maknasi-ke255gk-697670fc4e7f4.png")</f>
        <v/>
      </c>
      <c r="C5" t="inlineStr">
        <is>
          <t>零售品牌</t>
        </is>
      </c>
      <c r="D5" t="inlineStr">
        <is>
          <t>Kleco</t>
        </is>
      </c>
      <c r="E5" t="inlineStr">
        <is>
          <t>1.Miter Base</t>
        </is>
      </c>
      <c r="F5" t="inlineStr"/>
      <c r="G5" t="inlineStr">
        <is>
          <t>No</t>
        </is>
      </c>
      <c r="H5" t="n">
        <v>255</v>
      </c>
      <c r="I5" t="inlineStr">
        <is>
          <t>Ø222~267mm</t>
        </is>
      </c>
      <c r="J5" t="n">
        <v>1500</v>
      </c>
      <c r="K5" t="n">
        <v>5000</v>
      </c>
      <c r="L5" t="inlineStr">
        <is>
          <t>https://www.idefix.com/kleco-gonye-kesme-maknasi-ke255gk-p-19029327</t>
        </is>
      </c>
      <c r="M5" s="2" t="n">
        <v>167.5</v>
      </c>
      <c r="N5" t="inlineStr">
        <is>
          <t>idefix（TR）</t>
        </is>
      </c>
      <c r="O5" t="inlineStr">
        <is>
          <t>一般</t>
        </is>
      </c>
    </row>
    <row r="6">
      <c r="A6" t="inlineStr">
        <is>
          <t>LS1040N</t>
        </is>
      </c>
      <c r="B6">
        <f>IMAGE("https://media.screwfix.com/is/image/ae235/336HG_P")</f>
        <v/>
      </c>
      <c r="C6" t="inlineStr">
        <is>
          <t>OEM 品牌</t>
        </is>
      </c>
      <c r="D6" t="inlineStr">
        <is>
          <t>Makita</t>
        </is>
      </c>
      <c r="E6" t="inlineStr">
        <is>
          <t>1.Miter Base</t>
        </is>
      </c>
      <c r="F6" t="inlineStr">
        <is>
          <t>Single</t>
        </is>
      </c>
      <c r="G6" t="inlineStr">
        <is>
          <t>No</t>
        </is>
      </c>
      <c r="H6" t="n">
        <v>260</v>
      </c>
      <c r="I6" t="inlineStr">
        <is>
          <t>Ø222~267mm</t>
        </is>
      </c>
      <c r="J6" t="inlineStr"/>
      <c r="K6" t="n">
        <v>4600</v>
      </c>
      <c r="L6" t="inlineStr">
        <is>
          <t>https://www.screwfix.com/p/makita-ls1040n-2-260mm-electric-single-bevel-compound-mitre-saw-240v/336hg</t>
        </is>
      </c>
      <c r="M6" s="2" t="n">
        <v>271.36</v>
      </c>
      <c r="N6" t="inlineStr">
        <is>
          <t>Screwfix（GB）；eBay.de（DE）（跨境出貨（從 GB 出貨））；eBay.at（AT）（跨境出貨（從 GB 出貨））；K-Rauta（FI）；Screwfix.ie（IE）</t>
        </is>
      </c>
      <c r="O6" t="inlineStr">
        <is>
          <t>一般</t>
        </is>
      </c>
    </row>
    <row r="7">
      <c r="A7" t="inlineStr">
        <is>
          <t>MLS100</t>
        </is>
      </c>
      <c r="B7">
        <f>IMAGE("https://productimages.hepsiburada.net/s/15/424-600/9071170814002.jpg/format:webp")</f>
        <v/>
      </c>
      <c r="C7" t="inlineStr">
        <is>
          <t>OEM 品牌</t>
        </is>
      </c>
      <c r="D7" t="inlineStr">
        <is>
          <t>Makita</t>
        </is>
      </c>
      <c r="E7" t="inlineStr">
        <is>
          <t>1.Miter Base</t>
        </is>
      </c>
      <c r="F7" t="inlineStr"/>
      <c r="G7" t="inlineStr">
        <is>
          <t>No</t>
        </is>
      </c>
      <c r="H7" t="n">
        <v>255</v>
      </c>
      <c r="I7" t="inlineStr">
        <is>
          <t>Ø222~267mm</t>
        </is>
      </c>
      <c r="J7" t="n">
        <v>1500</v>
      </c>
      <c r="K7" t="inlineStr">
        <is>
          <t>4200</t>
        </is>
      </c>
      <c r="L7" t="inlineStr">
        <is>
          <t>https://www.hepsiburada.com/makita-mls100-1500-watt-255-mm-gonye-kesme-makinasi-pm-hrrsmmls100</t>
        </is>
      </c>
      <c r="M7" s="2" t="n">
        <v>414.26</v>
      </c>
      <c r="N7" t="inlineStr">
        <is>
          <t>Hepsiburada（TR）</t>
        </is>
      </c>
      <c r="O7" t="inlineStr">
        <is>
          <t>一般</t>
        </is>
      </c>
    </row>
    <row r="8">
      <c r="A8" t="inlineStr">
        <is>
          <t>MLS100N/2</t>
        </is>
      </c>
      <c r="B8">
        <f>IMAGE("https://media.screwfix.com/is/image/ae235/754XJ_P")</f>
        <v/>
      </c>
      <c r="C8" t="inlineStr">
        <is>
          <t>OEM 品牌</t>
        </is>
      </c>
      <c r="D8" t="inlineStr">
        <is>
          <t>Makita</t>
        </is>
      </c>
      <c r="E8" t="inlineStr">
        <is>
          <t>1.Miter Base</t>
        </is>
      </c>
      <c r="F8" t="inlineStr">
        <is>
          <t>Single</t>
        </is>
      </c>
      <c r="G8" t="inlineStr">
        <is>
          <t>No</t>
        </is>
      </c>
      <c r="H8" t="n">
        <v>255</v>
      </c>
      <c r="I8" t="inlineStr">
        <is>
          <t>Ø222~267mm</t>
        </is>
      </c>
      <c r="J8" t="n">
        <v>1500</v>
      </c>
      <c r="K8" t="n">
        <v>4200</v>
      </c>
      <c r="L8" t="inlineStr">
        <is>
          <t>https://www.screwfix.com/p/makita-mls100n-2-255mm-electric-single-bevel-mitre-saw-240v/754xj</t>
        </is>
      </c>
      <c r="M8" s="2" t="n">
        <v>266.62</v>
      </c>
      <c r="N8" t="inlineStr">
        <is>
          <t>Screwfix（GB）；ManoMano.de（DE）；ManoMano.it（IT）；Toolstation（GB）；Tooled-Up（GB）；Screwfix.ie（IE）；Howe Tools（GB）</t>
        </is>
      </c>
      <c r="O8" t="inlineStr">
        <is>
          <t>一般</t>
        </is>
      </c>
    </row>
    <row r="9">
      <c r="A9" t="inlineStr">
        <is>
          <t>DFS001</t>
        </is>
      </c>
      <c r="B9">
        <f>IMAGE("https://productimages.hepsiburada.net/s/777/424-600/110001450538504.jpg/format:webp")</f>
        <v/>
      </c>
      <c r="C9" t="inlineStr">
        <is>
          <t>零售品牌</t>
        </is>
      </c>
      <c r="D9" t="inlineStr">
        <is>
          <t>Pro Müller</t>
        </is>
      </c>
      <c r="E9" t="inlineStr">
        <is>
          <t>1.Miter Base</t>
        </is>
      </c>
      <c r="F9" t="inlineStr"/>
      <c r="G9" t="inlineStr">
        <is>
          <t>No</t>
        </is>
      </c>
      <c r="H9" t="n">
        <v>255</v>
      </c>
      <c r="I9" t="inlineStr">
        <is>
          <t>Ø222~267mm</t>
        </is>
      </c>
      <c r="J9" t="inlineStr"/>
      <c r="K9" t="inlineStr"/>
      <c r="L9" t="inlineStr">
        <is>
          <t>https://www.hepsiburada.com/pro-muller-dfs001-1500-watt-bakir-sargili-255-mm-90-acili-gonye-ahsap-metal-kesme-makinesi-pm-HBC0000C7IHUH</t>
        </is>
      </c>
      <c r="M9" s="2" t="n">
        <v>233.25</v>
      </c>
      <c r="N9" t="inlineStr">
        <is>
          <t>Hepsiburada（TR）</t>
        </is>
      </c>
      <c r="O9" t="inlineStr">
        <is>
          <t>一般</t>
        </is>
      </c>
    </row>
    <row r="10">
      <c r="A10" t="inlineStr">
        <is>
          <t>HM100T</t>
        </is>
      </c>
      <c r="B10">
        <f>IMAGE("https://media.castorama.fr/is/image/Castorama/scie-a-onglet-radiale-scheppach-hm100t-1800w-254-mm~4046664031864_01c_FR_CF?$MOB_PREV$&amp;$width=1200&amp;$height=1200")</f>
        <v/>
      </c>
      <c r="C10" t="inlineStr">
        <is>
          <t>OEM 品牌</t>
        </is>
      </c>
      <c r="D10" t="inlineStr">
        <is>
          <t>Scheppach</t>
        </is>
      </c>
      <c r="E10" t="inlineStr"/>
      <c r="F10" t="inlineStr">
        <is>
          <t>Dual</t>
        </is>
      </c>
      <c r="G10" t="inlineStr">
        <is>
          <t>No</t>
        </is>
      </c>
      <c r="H10" t="n">
        <v>254</v>
      </c>
      <c r="I10" t="inlineStr">
        <is>
          <t>Ø222~267mm</t>
        </is>
      </c>
      <c r="J10" t="n">
        <v>1800</v>
      </c>
      <c r="K10" t="n">
        <v>5000</v>
      </c>
      <c r="L10" t="inlineStr">
        <is>
          <t>https://www.castorama.fr/scie-a-onglet-radiale-scheppach-hm100t-1800w-254-mm/4046664031864_CAFR.prd</t>
        </is>
      </c>
      <c r="M10" s="2" t="n">
        <v>269.9</v>
      </c>
      <c r="N10" t="inlineStr">
        <is>
          <t>Castorama（FR）</t>
        </is>
      </c>
      <c r="O10" t="inlineStr">
        <is>
          <t>一般</t>
        </is>
      </c>
    </row>
    <row r="11">
      <c r="A11" t="inlineStr">
        <is>
          <t>PS 254 L</t>
        </is>
      </c>
      <c r="B11">
        <f>IMAGE("https://i.allo.ua/media/catalog/product/cache/3/image/468x468/602f0fa2c1f0d1ba5e241f914e856ff9/import/6961979323128076.webp")</f>
        <v/>
      </c>
      <c r="C11" t="inlineStr">
        <is>
          <t>OEM 品牌</t>
        </is>
      </c>
      <c r="D11" t="inlineStr">
        <is>
          <t>AEG</t>
        </is>
      </c>
      <c r="E11" t="inlineStr">
        <is>
          <t>1.Miter Base</t>
        </is>
      </c>
      <c r="F11" t="inlineStr"/>
      <c r="G11" t="inlineStr"/>
      <c r="H11" t="n">
        <v>254</v>
      </c>
      <c r="I11" t="inlineStr">
        <is>
          <t>Ø222~267mm</t>
        </is>
      </c>
      <c r="J11" t="n">
        <v>2000</v>
      </c>
      <c r="K11" t="n">
        <v>4500</v>
      </c>
      <c r="L11" t="inlineStr">
        <is>
          <t>https://allo.ua/ua/torcovochnye-pily/pila-torcovochnaja-s-protjazhkoj-cetevaja-aeg-ps254l-254-mm-90-mm-2000-vt-19-5-kg.html</t>
        </is>
      </c>
      <c r="M11" s="2" t="n">
        <v>368.73</v>
      </c>
      <c r="N11" t="inlineStr">
        <is>
          <t>Allo.ua（UA）；Cdiscount（FR）；ManoMano.it（IT）；Castorama（FR）（促銷價：頁面現價 408.49、劃線原價 434.99（「avis produits: 5 étoiles sur 5 sur 2 avis produits」），採劃線原價（2026-10-22 表單））</t>
        </is>
      </c>
      <c r="O11" t="inlineStr">
        <is>
          <t>一般</t>
        </is>
      </c>
    </row>
    <row r="12">
      <c r="A12" t="inlineStr">
        <is>
          <t>GK255 DBL</t>
        </is>
      </c>
      <c r="B12">
        <f>IMAGE("https://productimages.hepsiburada.net/s/777/424-600/110001639233544.jpg/format:webp")</f>
        <v/>
      </c>
      <c r="C12" t="inlineStr">
        <is>
          <t>零售品牌</t>
        </is>
      </c>
      <c r="D12" t="inlineStr">
        <is>
          <t>Attlas</t>
        </is>
      </c>
      <c r="E12" t="inlineStr">
        <is>
          <t>1.Miter Base</t>
        </is>
      </c>
      <c r="F12" t="inlineStr">
        <is>
          <t>Dual</t>
        </is>
      </c>
      <c r="G12" t="inlineStr"/>
      <c r="H12" t="n">
        <v>255</v>
      </c>
      <c r="I12" t="inlineStr">
        <is>
          <t>Ø222~267mm</t>
        </is>
      </c>
      <c r="J12" t="n">
        <v>1800</v>
      </c>
      <c r="K12" t="inlineStr">
        <is>
          <t>5000</t>
        </is>
      </c>
      <c r="L12" t="inlineStr">
        <is>
          <t>https://www.hepsiburada.com/attlas-gk255-dbl-cift-yatarli-gonye-kesme-255-mm-1800-w-a0701022-pm-HBC0000DW2Y82</t>
        </is>
      </c>
      <c r="M12" s="2" t="n">
        <v>203.27</v>
      </c>
      <c r="N12" t="inlineStr">
        <is>
          <t>Hepsiburada（TR）</t>
        </is>
      </c>
      <c r="O12" t="inlineStr">
        <is>
          <t>一般</t>
        </is>
      </c>
    </row>
    <row r="13">
      <c r="A13" t="inlineStr">
        <is>
          <t>AW254SMS</t>
        </is>
      </c>
      <c r="B13">
        <f>IMAGE("https://cdn.axminstertools.com/media/catalog/product/cache/178130bff8f35812b0f00b2e75c662fd/1/1/113375_xl.jpg")</f>
        <v/>
      </c>
      <c r="C13" t="inlineStr">
        <is>
          <t>零售品牌</t>
        </is>
      </c>
      <c r="D13" t="inlineStr">
        <is>
          <t>Axminster</t>
        </is>
      </c>
      <c r="E13" t="inlineStr">
        <is>
          <t>1.Miter Base</t>
        </is>
      </c>
      <c r="F13" t="inlineStr">
        <is>
          <t>Dual</t>
        </is>
      </c>
      <c r="G13" t="inlineStr"/>
      <c r="H13" t="n">
        <v>254</v>
      </c>
      <c r="I13" t="inlineStr">
        <is>
          <t>Ø222~267mm</t>
        </is>
      </c>
      <c r="J13" t="inlineStr"/>
      <c r="K13" t="n">
        <v>4500</v>
      </c>
      <c r="L13" t="inlineStr">
        <is>
          <t>https://www.axminstertools.com/axminster-workshop-aw254sms-slide-mitre-saw-230v-113375</t>
        </is>
      </c>
      <c r="M13" s="2" t="n">
        <v>414.74</v>
      </c>
      <c r="N13" t="inlineStr">
        <is>
          <t>Axminster Tools（GB）</t>
        </is>
      </c>
      <c r="O13" t="inlineStr">
        <is>
          <t>一般</t>
        </is>
      </c>
    </row>
    <row r="14">
      <c r="A14" t="inlineStr">
        <is>
          <t>MS 255D</t>
        </is>
      </c>
      <c r="B14">
        <f>IMAGE("https://productimages.biltema.com/v1/Image/product/xlarge/2000043510/1")</f>
        <v/>
      </c>
      <c r="C14" t="inlineStr">
        <is>
          <t>零售品牌</t>
        </is>
      </c>
      <c r="D14" t="inlineStr">
        <is>
          <t>Biltema</t>
        </is>
      </c>
      <c r="E14" t="inlineStr">
        <is>
          <t>1.Miter Base</t>
        </is>
      </c>
      <c r="F14" t="inlineStr">
        <is>
          <t>Dual</t>
        </is>
      </c>
      <c r="G14" t="inlineStr"/>
      <c r="H14" t="n">
        <v>255</v>
      </c>
      <c r="I14" t="inlineStr">
        <is>
          <t>Ø222~267mm</t>
        </is>
      </c>
      <c r="J14" t="n">
        <v>1800</v>
      </c>
      <c r="K14" t="n">
        <v>4500</v>
      </c>
      <c r="L14" t="inlineStr">
        <is>
          <t>https://www.biltema.se/verktyg/elverktyg/elsagar/stationara-sagar/kap--geringssag-ms-255d-2000043510</t>
        </is>
      </c>
      <c r="M14" s="2" t="n">
        <v>197.31</v>
      </c>
      <c r="N14" t="inlineStr">
        <is>
          <t>Biltema（SE）；Biltema.dk（DK）；Biltema.no（NO）（不採計：這頁沒有型號或刀徑原文）</t>
        </is>
      </c>
      <c r="O14" t="inlineStr">
        <is>
          <t>一般</t>
        </is>
      </c>
    </row>
    <row r="15">
      <c r="A15" t="inlineStr">
        <is>
          <t>BES710-QS</t>
        </is>
      </c>
      <c r="B15">
        <f>IMAGE("https://static.gamma.nl/dam/373110/123")</f>
        <v/>
      </c>
      <c r="C15" t="inlineStr">
        <is>
          <t>OEM 品牌</t>
        </is>
      </c>
      <c r="D15" t="inlineStr">
        <is>
          <t>Black+Decker</t>
        </is>
      </c>
      <c r="E15" t="inlineStr">
        <is>
          <t>1.Miter Base</t>
        </is>
      </c>
      <c r="F15" t="inlineStr">
        <is>
          <t>Dual</t>
        </is>
      </c>
      <c r="G15" t="inlineStr"/>
      <c r="H15" t="n">
        <v>254</v>
      </c>
      <c r="I15" t="inlineStr">
        <is>
          <t>Ø222~267mm</t>
        </is>
      </c>
      <c r="J15" t="n">
        <v>2100</v>
      </c>
      <c r="K15" t="n">
        <v>5000</v>
      </c>
      <c r="L15" t="inlineStr">
        <is>
          <t>https://www.gamma.nl/assortiment/black-decker-2100w-254mm-afkort-en-verstekzaag-bes710-qs/p/B148876</t>
        </is>
      </c>
      <c r="M15" s="2" t="n">
        <v>255</v>
      </c>
      <c r="N15" t="inlineStr">
        <is>
          <t>GAMMA（NL）；ManoMano.it（IT）；Netrauta.fi（FI）（促銷價：頁面現價 263.99、劃線原價 271.9（「us yli 200 € Postin noutopakettitilaukselle! Tuote」），採劃線原價（2026-10-22 表單））；Karwei（NL）；Castorama（FR）；Cdiscount（FR）；ManoMano ES（ES）</t>
        </is>
      </c>
      <c r="O15" t="inlineStr">
        <is>
          <t>一般</t>
        </is>
      </c>
    </row>
    <row r="16">
      <c r="A16" t="inlineStr">
        <is>
          <t>KGZ 2540 Vario</t>
        </is>
      </c>
      <c r="B16">
        <f>IMAGE("https://cdn.manomano.com/pim-media/images/medium/d558fd3fd622658a41231e27eba7c8c992c5da2d.jpg")</f>
        <v/>
      </c>
      <c r="C16" t="inlineStr">
        <is>
          <t>零售品牌</t>
        </is>
      </c>
      <c r="D16" t="inlineStr">
        <is>
          <t>Boiskraft</t>
        </is>
      </c>
      <c r="E16" t="inlineStr">
        <is>
          <t>1.Miter Base</t>
        </is>
      </c>
      <c r="F16" t="inlineStr">
        <is>
          <t>Dual</t>
        </is>
      </c>
      <c r="G16" t="inlineStr"/>
      <c r="H16" t="n">
        <v>250</v>
      </c>
      <c r="I16" t="inlineStr">
        <is>
          <t>Ø222~267mm</t>
        </is>
      </c>
      <c r="J16" t="n">
        <v>1600</v>
      </c>
      <c r="K16" t="inlineStr"/>
      <c r="L16" t="inlineStr">
        <is>
          <t>https://www.manomano.it/p/mitre-saw-kgz-2540-vario-boiskraft-31968745</t>
        </is>
      </c>
      <c r="M16" s="2" t="n">
        <v>857.96</v>
      </c>
      <c r="N16" t="inlineStr">
        <is>
          <t>ManoMano.it（IT）</t>
        </is>
      </c>
      <c r="O16" t="inlineStr">
        <is>
          <t>一般</t>
        </is>
      </c>
    </row>
    <row r="17">
      <c r="A17" t="inlineStr">
        <is>
          <t>GCM 10 GDJ</t>
        </is>
      </c>
      <c r="B17">
        <f>IMAGE("https://bilder.obi.de/9409739e-486d-4301-b6a8-7c9cd845e123/prZZD/image.jpeg")</f>
        <v/>
      </c>
      <c r="C17" t="inlineStr">
        <is>
          <t>OEM 品牌</t>
        </is>
      </c>
      <c r="D17" t="inlineStr">
        <is>
          <t>Bosch</t>
        </is>
      </c>
      <c r="E17" t="inlineStr">
        <is>
          <t>1.Miter Base</t>
        </is>
      </c>
      <c r="F17" t="inlineStr">
        <is>
          <t>Dual</t>
        </is>
      </c>
      <c r="G17" t="inlineStr">
        <is>
          <t>Robust Arm</t>
        </is>
      </c>
      <c r="H17" t="n">
        <v>254</v>
      </c>
      <c r="I17" t="inlineStr">
        <is>
          <t>Ø222~267mm</t>
        </is>
      </c>
      <c r="J17" t="n">
        <v>1800</v>
      </c>
      <c r="K17" t="inlineStr">
        <is>
          <t>4500</t>
        </is>
      </c>
      <c r="L17" t="inlineStr">
        <is>
          <t>https://www.obi.de/p/1825587/bosch-professional-kapp-und-gehrungssaege-gcm-10-gdj-1-800-w-mit-kreissaegeblatt</t>
        </is>
      </c>
      <c r="M17" s="2" t="n">
        <v>759.99</v>
      </c>
      <c r="N17" t="inlineStr">
        <is>
          <t>OBI（DE）；ManoMano.it（IT）；OBI AT（AT）（促銷價：頁面現價 785.0、劃線原價 891.56（「heyOBI Registrierung erforderlich.   Mehr erfahren」），採劃線原價（2026-10-22 表單））；Kaufland.at（AT）；Kaufland.de（DE）；Klium.nl（NL）；MediaMarkt（DE）；220.lv（LV）（不採計：這頁沒有型號或刀徑原文）；Ferramentas.pt（PT）（促銷價：頁面現價 919.57、劃線原價 1252.14（「mm Bosch GCM 10 GDJ Professional Special Price 919」），採劃線原價（2026-10-22 表單））</t>
        </is>
      </c>
      <c r="O17" t="inlineStr">
        <is>
          <t>一般</t>
        </is>
      </c>
    </row>
    <row r="18">
      <c r="A18" t="inlineStr">
        <is>
          <t>GCM 18 V-254 D</t>
        </is>
      </c>
      <c r="B18">
        <f>IMAGE("https://bilder.obi.de/ebddb24e-f6e6-45fb-85e6-5e2302755c0a/prZZD/image.jpeg")</f>
        <v/>
      </c>
      <c r="C18" t="inlineStr">
        <is>
          <t>OEM 品牌</t>
        </is>
      </c>
      <c r="D18" t="inlineStr">
        <is>
          <t>Bosch</t>
        </is>
      </c>
      <c r="E18" t="inlineStr">
        <is>
          <t>1.Miter Base</t>
        </is>
      </c>
      <c r="F18" t="inlineStr">
        <is>
          <t>Dual</t>
        </is>
      </c>
      <c r="G18" t="inlineStr"/>
      <c r="H18" t="n">
        <v>254</v>
      </c>
      <c r="I18" t="inlineStr">
        <is>
          <t>Ø222~267mm</t>
        </is>
      </c>
      <c r="J18" t="inlineStr"/>
      <c r="K18" t="inlineStr">
        <is>
          <t>4500</t>
        </is>
      </c>
      <c r="L18" t="inlineStr">
        <is>
          <t>https://www.obi.de/p/6095939/bosch-professional-akku-kapp-und-gehrungssaege-gcm-18-v-254-d</t>
        </is>
      </c>
      <c r="M18" s="2" t="n">
        <v>612</v>
      </c>
      <c r="N18" t="inlineStr">
        <is>
          <t>OBI（DE）（促銷價：頁面現價 605.65、劃線原價 612.0（「wertung (100%) empfehlen dieses Produkt Art. Nr: 6」），採劃線原價（2026-10-22 表單））；OBI AT（AT）；Hornbach AT（AT）；Kaufland.at（AT）；Klium.be（BE）；Ferramentas.pt（PT）（促銷價：頁面現價 675.42、劃線原價 961.86（「4D Professional Bosch 0601B51100 Special Price 675」），採劃線原價（2026-10-22 表單））；K-Rauta（FI）；Netrauta.fi（FI）（缺貨）；Skroutz（GR）</t>
        </is>
      </c>
      <c r="O18" t="inlineStr">
        <is>
          <t>一般</t>
        </is>
      </c>
    </row>
    <row r="19">
      <c r="A19" t="inlineStr">
        <is>
          <t>GCM 254 D</t>
        </is>
      </c>
      <c r="B19">
        <f>IMAGE("https://bilder.obi.at/22ac5521-692a-445f-b7d6-feb689d7cbad/prZZD/image.jpeg")</f>
        <v/>
      </c>
      <c r="C19" t="inlineStr">
        <is>
          <t>OEM 品牌</t>
        </is>
      </c>
      <c r="D19" t="inlineStr">
        <is>
          <t>Bosch</t>
        </is>
      </c>
      <c r="E19" t="inlineStr">
        <is>
          <t>1.Miter Base</t>
        </is>
      </c>
      <c r="F19" t="inlineStr">
        <is>
          <t>Dual</t>
        </is>
      </c>
      <c r="G19" t="inlineStr"/>
      <c r="H19" t="n">
        <v>254</v>
      </c>
      <c r="I19" t="inlineStr">
        <is>
          <t>Ø222~267mm</t>
        </is>
      </c>
      <c r="J19" t="n">
        <v>1800</v>
      </c>
      <c r="K19" t="n">
        <v>4800</v>
      </c>
      <c r="L19" t="inlineStr">
        <is>
          <t>https://www.kaufland.at/product/502335349/</t>
        </is>
      </c>
      <c r="M19" s="2" t="n">
        <v>257.83</v>
      </c>
      <c r="N19" t="inlineStr">
        <is>
          <t>Kaufland.at（AT）；OBI AT（AT）（只能到店／電話訂）；OBI（DE）（只能到店／電話訂）；Galaxus（CH）（不採計：這頁沒有型號或刀徑原文）；Leroy Merlin（PL）；OBI（CZ）；Skroutz（GR）</t>
        </is>
      </c>
      <c r="O19" t="inlineStr">
        <is>
          <t>一般</t>
        </is>
      </c>
    </row>
    <row r="20">
      <c r="A20" t="inlineStr">
        <is>
          <t>GCM 305-254 D</t>
        </is>
      </c>
      <c r="B20">
        <f>IMAGE("https://bilder.obi.at/00a57c19-c669-4fe7-923a-df4b2fedc3dd/prZZD/image.jpeg")</f>
        <v/>
      </c>
      <c r="C20" t="inlineStr">
        <is>
          <t>OEM 品牌</t>
        </is>
      </c>
      <c r="D20" t="inlineStr">
        <is>
          <t>Bosch</t>
        </is>
      </c>
      <c r="E20" t="inlineStr">
        <is>
          <t>1.Miter Base</t>
        </is>
      </c>
      <c r="F20" t="inlineStr">
        <is>
          <t>Dual</t>
        </is>
      </c>
      <c r="G20" t="inlineStr"/>
      <c r="H20" t="n">
        <v>254</v>
      </c>
      <c r="I20" t="inlineStr">
        <is>
          <t>Ø222~267mm</t>
        </is>
      </c>
      <c r="J20" t="n">
        <v>1500</v>
      </c>
      <c r="K20" t="n">
        <v>4500</v>
      </c>
      <c r="L20" t="inlineStr">
        <is>
          <t>https://www.obi.at/p/3341591/bosch-professional-kapp-und-gehrungssaege-gcm-305-254-d-1-500-w-m-2-x-saegeblatt</t>
        </is>
      </c>
      <c r="M20" s="2" t="n">
        <v>499.99</v>
      </c>
      <c r="N20" t="inlineStr">
        <is>
          <t>OBI AT（AT）；OBI（DE）；ManoMano.it（IT）；Kaufland.at（AT）；Galaxus（CH）（不採計：這頁沒有型號或刀徑原文）；Bauhaus.fi（FI）；Ferramentas.pt（PT）（促銷價：頁面現價 617.29、劃線原價 879.45（「ia GCM 305-254D Bosch 0601B49100 Special Price 617」），採劃線原價（2026-10-22 表單））；K-Rauta（FI）；Netrauta.fi（FI）；Bauhaus.se（SE）；Screwfix.ie（IE）（促銷價：頁面現價 699.95、劃線原價 840.95（「ore Info View all: Bosch Mitre Saws Save - 16% € 6」），採劃線原價（2026-10-22 表單））</t>
        </is>
      </c>
      <c r="O20" t="inlineStr">
        <is>
          <t>一般</t>
        </is>
      </c>
    </row>
    <row r="21">
      <c r="A21" t="inlineStr">
        <is>
          <t>CMS10S2B</t>
        </is>
      </c>
      <c r="B21">
        <f>IMAGE("https://www.lawson-his.co.uk/media/catalog/product/cache/1/image/1200x/040ec09b1e35df139433887a97daa66f/d/f/df36fdeb-c2d5-4c9c-afd2-79ec5b1ed88e-huge.jpg")</f>
        <v/>
      </c>
      <c r="C21" t="inlineStr">
        <is>
          <t>零售品牌</t>
        </is>
      </c>
      <c r="D21" t="inlineStr">
        <is>
          <t>Clarke</t>
        </is>
      </c>
      <c r="E21" t="inlineStr">
        <is>
          <t>1.Miter Base</t>
        </is>
      </c>
      <c r="F21" t="inlineStr"/>
      <c r="G21" t="inlineStr"/>
      <c r="H21" t="n">
        <v>255</v>
      </c>
      <c r="I21" t="inlineStr">
        <is>
          <t>Ø222~267mm</t>
        </is>
      </c>
      <c r="J21" t="inlineStr"/>
      <c r="K21" t="inlineStr"/>
      <c r="L21" t="inlineStr">
        <is>
          <t>https://www.lawson-his.co.uk/clarke-cms10s2b-10-sliding-mitre-saw-with-laser-230v</t>
        </is>
      </c>
      <c r="M21" s="2" t="n">
        <v>226.65</v>
      </c>
      <c r="N21" t="inlineStr">
        <is>
          <t>Lawson HIS（GB）</t>
        </is>
      </c>
      <c r="O21" t="inlineStr">
        <is>
          <t>一般</t>
        </is>
      </c>
    </row>
    <row r="22">
      <c r="A22" t="inlineStr">
        <is>
          <t>C-ZKGS 250-A</t>
        </is>
      </c>
      <c r="B22">
        <f>IMAGE("https://bilder.obi.de/86b8a0dc-f439-4b97-96e8-388e0c5d5782/prZZD/image.jpeg")</f>
        <v/>
      </c>
      <c r="C22" t="inlineStr">
        <is>
          <t>零售品牌</t>
        </is>
      </c>
      <c r="D22" t="inlineStr">
        <is>
          <t>CMI</t>
        </is>
      </c>
      <c r="E22" t="inlineStr">
        <is>
          <t>1.Miter Base</t>
        </is>
      </c>
      <c r="F22" t="inlineStr"/>
      <c r="G22" t="inlineStr"/>
      <c r="H22" t="n">
        <v>254</v>
      </c>
      <c r="I22" t="inlineStr">
        <is>
          <t>Ø222~267mm</t>
        </is>
      </c>
      <c r="J22" t="n">
        <v>1600</v>
      </c>
      <c r="K22" t="n">
        <v>5000</v>
      </c>
      <c r="L22" t="inlineStr">
        <is>
          <t>https://www.obi.de/p/7327216/cmi-zug-kapp-und-gehrungssaege-c-zkgs-250-a</t>
        </is>
      </c>
      <c r="M22" s="2" t="n">
        <v>119.99</v>
      </c>
      <c r="N22" t="inlineStr">
        <is>
          <t>OBI（DE）（只能到店／電話訂）；OBI AT（AT）（只能到店／電話訂）；OBI（HU）</t>
        </is>
      </c>
      <c r="O22" t="inlineStr">
        <is>
          <t>一般</t>
        </is>
      </c>
    </row>
    <row r="23">
      <c r="A23" t="inlineStr">
        <is>
          <t>CTRMS1800-255LA</t>
        </is>
      </c>
      <c r="B23">
        <f>IMAGE("https://cdn.manomano.com/pim-media/images/medium/dfb913f6ff0612081e2c7ca8351c6ee09fca1107.jpg")</f>
        <v/>
      </c>
      <c r="C23" t="inlineStr">
        <is>
          <t>零售品牌</t>
        </is>
      </c>
      <c r="D23" t="inlineStr">
        <is>
          <t>Constructor</t>
        </is>
      </c>
      <c r="E23" t="inlineStr">
        <is>
          <t>1.Miter Base</t>
        </is>
      </c>
      <c r="F23" t="inlineStr"/>
      <c r="G23" t="inlineStr"/>
      <c r="H23" t="n">
        <v>254</v>
      </c>
      <c r="I23" t="inlineStr">
        <is>
          <t>Ø222~267mm</t>
        </is>
      </c>
      <c r="J23" t="n">
        <v>1800</v>
      </c>
      <c r="K23" t="inlineStr">
        <is>
          <t>5000</t>
        </is>
      </c>
      <c r="L23" t="inlineStr">
        <is>
          <t>https://www.manomano.it/p/constructor-ctrms1800-255la-sega-radiale-1800w-con-laser-diametro-disco-254mm-19566664</t>
        </is>
      </c>
      <c r="M23" s="2" t="n">
        <v>199</v>
      </c>
      <c r="N23" t="inlineStr">
        <is>
          <t>ManoMano.it（IT）</t>
        </is>
      </c>
      <c r="O23" t="inlineStr">
        <is>
          <t>一般</t>
        </is>
      </c>
    </row>
    <row r="24">
      <c r="A24" t="inlineStr">
        <is>
          <t>DCS727</t>
        </is>
      </c>
      <c r="B24">
        <f>IMAGE("https://media.hornbach.at/hb/packshot/as.78655316.jpg?dvid=8")</f>
        <v/>
      </c>
      <c r="C24" t="inlineStr">
        <is>
          <t>OEM 品牌</t>
        </is>
      </c>
      <c r="D24" t="inlineStr">
        <is>
          <t>DeWalt</t>
        </is>
      </c>
      <c r="E24" t="inlineStr">
        <is>
          <t>1.Miter Base</t>
        </is>
      </c>
      <c r="F24" t="inlineStr">
        <is>
          <t>Dual</t>
        </is>
      </c>
      <c r="G24" t="inlineStr"/>
      <c r="H24" t="n">
        <v>250</v>
      </c>
      <c r="I24" t="inlineStr">
        <is>
          <t>Ø222~267mm</t>
        </is>
      </c>
      <c r="J24" t="inlineStr"/>
      <c r="K24" t="n">
        <v>4300</v>
      </c>
      <c r="L24" t="inlineStr">
        <is>
          <t>https://www.hornbach.at/p/akku-gehrungssaege-dewalt-dcs727n-xj-54-v-ohne-akku-und-ohne-ladegeraet/12011674/</t>
        </is>
      </c>
      <c r="M24" s="2" t="n">
        <v>839</v>
      </c>
      <c r="N24" t="inlineStr">
        <is>
          <t>Hornbach AT（AT）（只能到店／電話訂）；Toolstation（GB）；WowTools（GB）（促銷價：頁面現價 709.95、劃線原價 729.95（「ols and see the difference in every cut Read More 」），採劃線原價（2026-10-22 表單））；Klium.nl（NL）；220.lv（LV）；ManoMano.it（IT）（不採計：這頁沒有型號或刀徑原文）；Castorama（FR）（促銷價：頁面現價 1029.94、劃線原價 1279.2（「t: 0 étoiles sur 5 à partir de 0 évaluation du pro」），採劃線原價（2026-10-22 表單））；Screwfix（GB）</t>
        </is>
      </c>
      <c r="O24" t="inlineStr">
        <is>
          <t>一般</t>
        </is>
      </c>
    </row>
    <row r="25">
      <c r="A25" t="inlineStr">
        <is>
          <t>DWS727</t>
        </is>
      </c>
      <c r="B25">
        <f>IMAGE("https://wowtools.2dimg.com/25/dewdws727_83b46ccb2a.jpg")</f>
        <v/>
      </c>
      <c r="C25" t="inlineStr">
        <is>
          <t>OEM 品牌</t>
        </is>
      </c>
      <c r="D25" t="inlineStr">
        <is>
          <t>DeWalt</t>
        </is>
      </c>
      <c r="E25" t="inlineStr">
        <is>
          <t>1.Miter Base</t>
        </is>
      </c>
      <c r="F25" t="inlineStr">
        <is>
          <t>Dual</t>
        </is>
      </c>
      <c r="G25" t="inlineStr"/>
      <c r="H25" t="n">
        <v>250</v>
      </c>
      <c r="I25" t="inlineStr">
        <is>
          <t>Ø222~267mm</t>
        </is>
      </c>
      <c r="J25" t="n">
        <v>1675</v>
      </c>
      <c r="K25" t="n">
        <v>4000</v>
      </c>
      <c r="L25" t="inlineStr">
        <is>
          <t>https://www.sautershop-de.com/en-int/mitre-saw-dewalt-dws727qs-d-dws727-qs</t>
        </is>
      </c>
      <c r="M25" s="2" t="n">
        <v>718.99</v>
      </c>
      <c r="N25" t="inlineStr">
        <is>
          <t>Sautershop（DE）；Toolstation（GB）；Hornbach AT（AT）（只能到店／電話訂）；WowTools（GB）（促銷價：頁面現價 599.95、劃線原價 619.95（「°. Bevel Capacity: 49°/49°. Weight: 23kg. Read Mor」），採劃線原價（2026-10-22 表單））；Kean's（IE）；The Range（GB）；eBay.co.uk（GB）（跨境出貨（從 NL 出貨））；Klium.nl（NL）；220.lv（LV）；Allo.ua（UA）；ManoMano.it（IT）；Toolstation NL（NL）；Screwfix（GB）；B&amp;Q（GB）；Castorama（FR）（促銷價：頁面現價 893.58、劃線原價 1768.07（「t: 0 étoiles sur 5 à partir de 0 évaluation du pro」），採劃線原價（2026-10-22 表單））；Screwfix.ie（IE）</t>
        </is>
      </c>
      <c r="O25" t="inlineStr">
        <is>
          <t>一般</t>
        </is>
      </c>
    </row>
    <row r="26">
      <c r="A26" t="inlineStr">
        <is>
          <t>DWS778-QS</t>
        </is>
      </c>
      <c r="B26">
        <f>IMAGE("https://media.castorama.fr/is/image/Castorama/scie-onglets-radiale-1850-w-lame-250-mm-dewalt-dws778-qs~5035048399606_01c_MP?$MOB_PREV$&amp;$width=1200&amp;$height=1200")</f>
        <v/>
      </c>
      <c r="C26" t="inlineStr">
        <is>
          <t>OEM 品牌</t>
        </is>
      </c>
      <c r="D26" t="inlineStr">
        <is>
          <t>DeWalt</t>
        </is>
      </c>
      <c r="E26" t="inlineStr">
        <is>
          <t>1.Miter Base</t>
        </is>
      </c>
      <c r="F26" t="inlineStr">
        <is>
          <t>Dual</t>
        </is>
      </c>
      <c r="G26" t="inlineStr"/>
      <c r="H26" t="n">
        <v>250</v>
      </c>
      <c r="I26" t="inlineStr">
        <is>
          <t>Ø222~267mm</t>
        </is>
      </c>
      <c r="J26" t="n">
        <v>1850</v>
      </c>
      <c r="K26" t="n">
        <v>5000</v>
      </c>
      <c r="L26" t="inlineStr">
        <is>
          <t>https://www.castorama.fr/mkp/scie-onglets-radiale-1850-w-lame-250-mm-dewalt-dws778-qs/5035048399606_CAFR.prd</t>
        </is>
      </c>
      <c r="M26" s="2" t="n">
        <v>1335.6</v>
      </c>
      <c r="N26" t="inlineStr">
        <is>
          <t>Castorama（FR）（促銷價：頁面現價 666.73、劃線原價 1335.6（「t: 0 étoiles sur 5 à partir de 0 évaluation du pro」），採劃線原價（2026-10-22 表單））</t>
        </is>
      </c>
      <c r="O26" t="inlineStr">
        <is>
          <t>一般</t>
        </is>
      </c>
    </row>
    <row r="27">
      <c r="A27" t="inlineStr">
        <is>
          <t>J1G-ZP38-K255-3</t>
        </is>
      </c>
      <c r="B27">
        <f>IMAGE("https://media.adeo.com/media/4256785/media.png")</f>
        <v/>
      </c>
      <c r="C27" t="inlineStr">
        <is>
          <t>零售品牌</t>
        </is>
      </c>
      <c r="D27" t="inlineStr">
        <is>
          <t>Dexter</t>
        </is>
      </c>
      <c r="E27" t="inlineStr">
        <is>
          <t>1.Miter Base</t>
        </is>
      </c>
      <c r="F27" t="inlineStr"/>
      <c r="G27" t="inlineStr"/>
      <c r="H27" t="n">
        <v>254</v>
      </c>
      <c r="I27" t="inlineStr">
        <is>
          <t>Ø222~267mm</t>
        </is>
      </c>
      <c r="J27" t="n">
        <v>2000</v>
      </c>
      <c r="K27" t="inlineStr"/>
      <c r="L27" t="inlineStr">
        <is>
          <t>https://www.leroymerlin.it/prodotti/troncatrice-radiale-dexter-j1g-zp38-k255-3-254-mm-2000w-91225647.html</t>
        </is>
      </c>
      <c r="M27" s="2" t="n">
        <v>179.9</v>
      </c>
      <c r="N27" t="inlineStr">
        <is>
          <t>Leroy Merlin IT（IT）；Leroy Merlin（PL）</t>
        </is>
      </c>
      <c r="O27" t="inlineStr">
        <is>
          <t>一般</t>
        </is>
      </c>
    </row>
    <row r="28">
      <c r="A28" t="inlineStr">
        <is>
          <t>61101</t>
        </is>
      </c>
      <c r="B28">
        <f>IMAGE("https://cdn.aws.toolstation.com/images/141020-UK/250/61101.jpg")</f>
        <v/>
      </c>
      <c r="C28" t="inlineStr">
        <is>
          <t>零售品牌</t>
        </is>
      </c>
      <c r="D28" t="inlineStr">
        <is>
          <t>Draper</t>
        </is>
      </c>
      <c r="E28" t="inlineStr">
        <is>
          <t>1.Miter Base</t>
        </is>
      </c>
      <c r="F28" t="inlineStr">
        <is>
          <t>Dual</t>
        </is>
      </c>
      <c r="G28" t="inlineStr"/>
      <c r="H28" t="n">
        <v>255</v>
      </c>
      <c r="I28" t="inlineStr">
        <is>
          <t>Ø222~267mm</t>
        </is>
      </c>
      <c r="J28" t="n">
        <v>2000</v>
      </c>
      <c r="K28" t="n">
        <v>5500</v>
      </c>
      <c r="L28" t="inlineStr">
        <is>
          <t>https://www.toolstation.com/draper-2000w-double-bevel-sliding-compound-mitre-saw/p61101</t>
        </is>
      </c>
      <c r="M28" s="2" t="n">
        <v>296.25</v>
      </c>
      <c r="N28" t="inlineStr">
        <is>
          <t>Toolstation（GB）</t>
        </is>
      </c>
      <c r="O28" t="inlineStr">
        <is>
          <t>一般</t>
        </is>
      </c>
    </row>
    <row r="29">
      <c r="A29" t="inlineStr">
        <is>
          <t>90170</t>
        </is>
      </c>
      <c r="B29">
        <f>IMAGE("https://media.screwfix.com/is/image/ae235/498CM_P")</f>
        <v/>
      </c>
      <c r="C29" t="inlineStr">
        <is>
          <t>零售品牌</t>
        </is>
      </c>
      <c r="D29" t="inlineStr">
        <is>
          <t>Draper</t>
        </is>
      </c>
      <c r="E29" t="inlineStr"/>
      <c r="F29" t="inlineStr">
        <is>
          <t>Single</t>
        </is>
      </c>
      <c r="G29" t="inlineStr"/>
      <c r="H29" t="n">
        <v>255</v>
      </c>
      <c r="I29" t="inlineStr">
        <is>
          <t>Ø222~267mm</t>
        </is>
      </c>
      <c r="J29" t="inlineStr"/>
      <c r="K29" t="n">
        <v>5000</v>
      </c>
      <c r="L29" t="inlineStr">
        <is>
          <t>https://www.screwfix.com/p/draper-90170-255mm-electric-single-bevel-sliding-compound-mitre-saw-240v/498cm</t>
        </is>
      </c>
      <c r="M29" s="2" t="n">
        <v>254.77</v>
      </c>
      <c r="N29" t="inlineStr">
        <is>
          <t>Screwfix（GB）</t>
        </is>
      </c>
      <c r="O29" t="inlineStr">
        <is>
          <t>一般</t>
        </is>
      </c>
    </row>
    <row r="30">
      <c r="A30" t="inlineStr">
        <is>
          <t>TC-SM 2531/2 U</t>
        </is>
      </c>
      <c r="B30">
        <f>IMAGE("https://bilder.obi.de/a59a6072-3ee8-4084-89da-067f63db687d/prZZD/image.jpeg")</f>
        <v/>
      </c>
      <c r="C30" t="inlineStr">
        <is>
          <t>OEM 品牌</t>
        </is>
      </c>
      <c r="D30" t="inlineStr">
        <is>
          <t>Einhell</t>
        </is>
      </c>
      <c r="E30" t="inlineStr">
        <is>
          <t>2.Floor</t>
        </is>
      </c>
      <c r="F30" t="inlineStr">
        <is>
          <t>Single</t>
        </is>
      </c>
      <c r="G30" t="inlineStr"/>
      <c r="H30" t="n">
        <v>254</v>
      </c>
      <c r="I30" t="inlineStr">
        <is>
          <t>Ø222~267mm</t>
        </is>
      </c>
      <c r="J30" t="n">
        <v>1900</v>
      </c>
      <c r="K30" t="n">
        <v>4800</v>
      </c>
      <c r="L30" t="inlineStr">
        <is>
          <t>https://www.obi-italia.it/p/5348073/troncatrice-radiale-con-banchetto-tcsm-2531-2-u-einhell</t>
        </is>
      </c>
      <c r="M30" s="2" t="n">
        <v>179.95</v>
      </c>
      <c r="N30" t="inlineStr">
        <is>
          <t>OBI Italia（IT）；OBI（DE）；OBI AT（AT）；Galaxus（CH）（不採計：這頁沒有型號或刀徑原文）；OTTO（DE）；Skroutz（GR）；Allo.ua（UA）；Hornbach（CZ）（不採計：這頁沒有型號或刀徑原文）；Hornbach.se（SE）（不採計：這頁沒有型號或刀徑原文）；K-Rauta（FI）；ManoMano.it（IT）（不採計：這頁沒有型號或刀徑原文）；OBI（PL）；OBI（HU）；OBI（CZ）；OBI SK（SK）；Puuilo（FI）；eMAG.hu（HU）（不採計：這頁沒有型號或刀徑原文）；idefix（TR）；Cdiscount（FR）；Praxis（NL）（促銷價：頁面現價 231.2、劃線原價 289.0（「voudig wisselen van zaagblad Toon specificaties  2」），採劃線原價（2026-10-22 表單））；ManoMano ES（ES）；Leroy Merlin IT（IT）；PcComponentes（ES）；Galaxus.be（BE）（不採計：這頁沒有型號或刀徑原文）；Galaxus.fr（FR）（不採計：這頁沒有型號或刀徑原文）</t>
        </is>
      </c>
      <c r="O30" t="inlineStr">
        <is>
          <t>一般</t>
        </is>
      </c>
    </row>
    <row r="31">
      <c r="A31" t="inlineStr">
        <is>
          <t>TC-SM 2534 Dual</t>
        </is>
      </c>
      <c r="B31">
        <f>IMAGE("https://cdn.manomano.com/pim-media/images/medium/a1628d26177c1753e7e0adfa469d8e14dbca5895.jpg")</f>
        <v/>
      </c>
      <c r="C31" t="inlineStr">
        <is>
          <t>OEM 品牌</t>
        </is>
      </c>
      <c r="D31" t="inlineStr">
        <is>
          <t>Einhell</t>
        </is>
      </c>
      <c r="E31" t="inlineStr">
        <is>
          <t>1.Miter Base</t>
        </is>
      </c>
      <c r="F31" t="inlineStr">
        <is>
          <t>Dual</t>
        </is>
      </c>
      <c r="G31" t="inlineStr"/>
      <c r="H31" t="n">
        <v>250</v>
      </c>
      <c r="I31" t="inlineStr">
        <is>
          <t>Ø222~267mm</t>
        </is>
      </c>
      <c r="J31" t="n">
        <v>2350</v>
      </c>
      <c r="K31" t="n">
        <v>4000</v>
      </c>
      <c r="L31" t="inlineStr">
        <is>
          <t>https://www.manomano.it/p/einhell-troncatrice-radiale-2350w-inclinabile-falegname-taglio-legno-th-sm2534-49538</t>
        </is>
      </c>
      <c r="M31" s="2" t="n">
        <v>259.01</v>
      </c>
      <c r="N31" t="inlineStr">
        <is>
          <t>ManoMano.it（IT）</t>
        </is>
      </c>
      <c r="O31" t="inlineStr">
        <is>
          <t>一般</t>
        </is>
      </c>
    </row>
    <row r="32">
      <c r="A32" t="inlineStr">
        <is>
          <t>TC-SM 2534/1 Dual</t>
        </is>
      </c>
      <c r="B32">
        <f>IMAGE("https://image.hagebau.at/pdp_main/zug-kapp-gehrungssaege-einhell-classic-tc-sm-2534-1-dual-4000-u-min-2350-w--12009637.jpg")</f>
        <v/>
      </c>
      <c r="C32" t="inlineStr">
        <is>
          <t>OEM 品牌</t>
        </is>
      </c>
      <c r="D32" t="inlineStr">
        <is>
          <t>Einhell</t>
        </is>
      </c>
      <c r="E32" t="inlineStr">
        <is>
          <t>1.Miter Base</t>
        </is>
      </c>
      <c r="F32" t="inlineStr">
        <is>
          <t>Dual</t>
        </is>
      </c>
      <c r="G32" t="inlineStr"/>
      <c r="H32" t="n">
        <v>250</v>
      </c>
      <c r="I32" t="inlineStr">
        <is>
          <t>Ø222~267mm</t>
        </is>
      </c>
      <c r="J32" t="n">
        <v>2350</v>
      </c>
      <c r="K32" t="n">
        <v>4000</v>
      </c>
      <c r="L32" t="inlineStr">
        <is>
          <t>https://www.hagebau.at/p/einhell-zug-kapp-gehrungssaege-einhell-classic-tc-sm-2534-1-dual-4000-u-min-2350-w-anP7000459042/</t>
        </is>
      </c>
      <c r="M32" s="2" t="n">
        <v>199</v>
      </c>
      <c r="N32" t="inlineStr">
        <is>
          <t>hagebau.at（AT）（只能到店／電話訂）；hagebau（DE）；Bricozor（FR）；Hornbach AT（AT）；Einhell webshop (einhell.de)（DE）；Woodies（IE）；Hornbach NL（NL）（不採計：這頁沒有型號或刀徑原文）；Hornbach.se（SE）（不採計：這頁沒有型號或刀徑原文）；Netrauta.fi（FI）（促銷價：頁面現價 299.9、劃線原價 319.0（「tus yli 200 € Postin noutopakettitilaukselle Tuote」），採劃線原價（2026-10-22 表單））；eMAG（RO）；Argos（GB）；Castorama（FR）；B&amp;Q（GB）</t>
        </is>
      </c>
      <c r="O32" t="inlineStr">
        <is>
          <t>一般</t>
        </is>
      </c>
    </row>
    <row r="33">
      <c r="A33" t="inlineStr">
        <is>
          <t>TC-SM 254</t>
        </is>
      </c>
      <c r="B33">
        <f>IMAGE("https://bilder.obi.de/a445d04f-857a-4070-96ae-eb5b04a94eec/prZZD/image.jpeg")</f>
        <v/>
      </c>
      <c r="C33" t="inlineStr">
        <is>
          <t>OEM 品牌</t>
        </is>
      </c>
      <c r="D33" t="inlineStr">
        <is>
          <t>Einhell</t>
        </is>
      </c>
      <c r="E33" t="inlineStr">
        <is>
          <t>1.Miter Base</t>
        </is>
      </c>
      <c r="F33" t="inlineStr">
        <is>
          <t>Single</t>
        </is>
      </c>
      <c r="G33" t="inlineStr"/>
      <c r="H33" t="n">
        <v>254</v>
      </c>
      <c r="I33" t="inlineStr">
        <is>
          <t>Ø222~267mm</t>
        </is>
      </c>
      <c r="J33" t="n">
        <v>1900</v>
      </c>
      <c r="K33" t="n">
        <v>5000</v>
      </c>
      <c r="L33" t="inlineStr">
        <is>
          <t>https://www.obi.de/p/8041097/einhell-zug-kapp-gehrungssaege-tc-sm-254</t>
        </is>
      </c>
      <c r="M33" s="2" t="n">
        <v>199.99</v>
      </c>
      <c r="N33" t="inlineStr">
        <is>
          <t>OBI（DE）（只能到店／電話訂）；OBI AT（AT）（只能到店／電話訂）；toom（DE）（缺貨）；Einhell webshop (einhell.de)（DE）；Galaxus（CH）（不採計：這頁沒有型號或刀徑原文）；Kaufland.de（DE）；Hornbach（CZ）（不採計：這頁沒有型號或刀徑原文）；K-Rauta（FI）；Moyo（UA）（缺貨）；Nova Liniya（UA）（不採計：這頁沒有型號或刀徑原文）；OBI（HU）；OBI（CZ）；OBI SK（SK）；Puuilo（FI）；eMAG.hu（HU）；idefix（TR）（不採計：這頁沒有型號或刀徑原文）；Cdiscount（FR）</t>
        </is>
      </c>
      <c r="O33" t="inlineStr">
        <is>
          <t>一般</t>
        </is>
      </c>
    </row>
    <row r="34">
      <c r="A34" t="inlineStr">
        <is>
          <t>TE-SM 10 L</t>
        </is>
      </c>
      <c r="B34">
        <f>IMAGE("https://media.hornbach.at/hb/packshot/as.162764980.jpg?dvid=8")</f>
        <v/>
      </c>
      <c r="C34" t="inlineStr">
        <is>
          <t>OEM 品牌</t>
        </is>
      </c>
      <c r="D34" t="inlineStr">
        <is>
          <t>Einhell</t>
        </is>
      </c>
      <c r="E34" t="inlineStr">
        <is>
          <t>1.Miter Base</t>
        </is>
      </c>
      <c r="F34" t="inlineStr">
        <is>
          <t>Dual</t>
        </is>
      </c>
      <c r="G34" t="inlineStr"/>
      <c r="H34" t="n">
        <v>254</v>
      </c>
      <c r="I34" t="inlineStr">
        <is>
          <t>Ø222~267mm</t>
        </is>
      </c>
      <c r="J34" t="n">
        <v>1800</v>
      </c>
      <c r="K34" t="n">
        <v>4800</v>
      </c>
      <c r="L34" t="inlineStr">
        <is>
          <t>https://www.hornbach.at/p/zug-kapp-und-gehrungssaege-einhell-te-sm-10-l-1800-w-220-v/12556690/</t>
        </is>
      </c>
      <c r="M34" s="2" t="n">
        <v>229</v>
      </c>
      <c r="N34" t="inlineStr">
        <is>
          <t>Hornbach AT（AT）（只能到店／電話訂）；Tooled-Up（GB）；OBI.ch（CH）</t>
        </is>
      </c>
      <c r="O34" t="inlineStr">
        <is>
          <t>一般</t>
        </is>
      </c>
    </row>
    <row r="35">
      <c r="A35" t="inlineStr">
        <is>
          <t>TE-SM 10 L Dual</t>
        </is>
      </c>
      <c r="B35">
        <f>IMAGE("https://static.lceassets.com/thumbnails/15/15ce26bfcb440272c0f99e5912c944a22ae9ebe1/scie-a-onglet-radiale-te-sm-10-l-dual-bricozor-jpeg-square-1000x1000.jpg")</f>
        <v/>
      </c>
      <c r="C35" t="inlineStr">
        <is>
          <t>OEM 品牌</t>
        </is>
      </c>
      <c r="D35" t="inlineStr">
        <is>
          <t>Einhell</t>
        </is>
      </c>
      <c r="E35" t="inlineStr">
        <is>
          <t>2.Floor</t>
        </is>
      </c>
      <c r="F35" t="inlineStr">
        <is>
          <t>Dual</t>
        </is>
      </c>
      <c r="G35" t="inlineStr"/>
      <c r="H35" t="n">
        <v>254</v>
      </c>
      <c r="I35" t="inlineStr">
        <is>
          <t>Ø222~267mm</t>
        </is>
      </c>
      <c r="J35" t="n">
        <v>1800</v>
      </c>
      <c r="K35" t="n">
        <v>4800</v>
      </c>
      <c r="L35" t="inlineStr">
        <is>
          <t>https://www.hornbach.de/p/zug-kapp-und-gehrungssaege-einhell-1800-w-220-v/12556690/</t>
        </is>
      </c>
      <c r="M35" s="2" t="n">
        <v>226</v>
      </c>
      <c r="N35" t="inlineStr">
        <is>
          <t>Hornbach（DE）；OBI AT（AT）（只能到店／電話訂）；toom（DE）（缺貨）；Bricozor（FR）；hagebau（DE）（缺貨）；hagebau.at（AT）（不採計：這頁沒有型號或刀徑原文）；Einhell webshop (einhell.de)（DE）（缺貨）；OBI（DE）（只能到店／電話訂）；OBI（HU）；OBI（CZ）；Puuilo（FI）；eMAG.hu（HU）；Toolstation BE（BE）</t>
        </is>
      </c>
      <c r="O35" t="inlineStr">
        <is>
          <t>一般</t>
        </is>
      </c>
    </row>
    <row r="36">
      <c r="A36" t="inlineStr">
        <is>
          <t>TE-SM 2534 Dual</t>
        </is>
      </c>
      <c r="B36">
        <f>IMAGE("https://media.hornbach.de/hb/packshot/as.46574024.jpg?dvid=8")</f>
        <v/>
      </c>
      <c r="C36" t="inlineStr">
        <is>
          <t>OEM 品牌</t>
        </is>
      </c>
      <c r="D36" t="inlineStr">
        <is>
          <t>Einhell</t>
        </is>
      </c>
      <c r="E36" t="inlineStr">
        <is>
          <t>1.Miter Base</t>
        </is>
      </c>
      <c r="F36" t="inlineStr">
        <is>
          <t>Dual</t>
        </is>
      </c>
      <c r="G36" t="inlineStr"/>
      <c r="H36" t="n">
        <v>250</v>
      </c>
      <c r="I36" t="inlineStr">
        <is>
          <t>Ø222~267mm</t>
        </is>
      </c>
      <c r="J36" t="n">
        <v>1800</v>
      </c>
      <c r="K36" t="n">
        <v>5100</v>
      </c>
      <c r="L36" t="inlineStr">
        <is>
          <t>https://www.hornbach.de/p/zug-kapp-gehrungssaege-einhell-te-sm-2534-dual/5789288/</t>
        </is>
      </c>
      <c r="M36" s="2" t="n">
        <v>239</v>
      </c>
      <c r="N36" t="inlineStr">
        <is>
          <t>Hornbach（DE）；Hornbach LU（LU）（只能到店／電話訂）；toom（DE）（缺貨）；Einhell webshop (einhell.de)（DE）（缺貨）；OBI.ch（CH）；idefix（TR）</t>
        </is>
      </c>
      <c r="O36" t="inlineStr">
        <is>
          <t>一般</t>
        </is>
      </c>
    </row>
    <row r="37">
      <c r="A37" t="inlineStr">
        <is>
          <t>TE-SM 36/10 L Li-Solo</t>
        </is>
      </c>
      <c r="B37">
        <f>IMAGE("https://bilder.obi.de/02e5000e-bea8-4367-bb2f-3234fafb3093/prZZD/image.jpeg")</f>
        <v/>
      </c>
      <c r="C37" t="inlineStr">
        <is>
          <t>OEM 品牌</t>
        </is>
      </c>
      <c r="D37" t="inlineStr">
        <is>
          <t>Einhell</t>
        </is>
      </c>
      <c r="E37" t="inlineStr">
        <is>
          <t>1.Miter Base</t>
        </is>
      </c>
      <c r="F37" t="inlineStr">
        <is>
          <t>Single</t>
        </is>
      </c>
      <c r="G37" t="inlineStr"/>
      <c r="H37" t="n">
        <v>254</v>
      </c>
      <c r="I37" t="inlineStr">
        <is>
          <t>Ø222~267mm</t>
        </is>
      </c>
      <c r="J37" t="inlineStr"/>
      <c r="K37" t="n">
        <v>3800</v>
      </c>
      <c r="L37" t="inlineStr">
        <is>
          <t>https://www.obi.de/p/7715642/einhell-power-x-change-akku-zug-kapp-gehrungssaege-te-sm-36-10-l-li-solo</t>
        </is>
      </c>
      <c r="M37" s="2" t="n">
        <v>266.27</v>
      </c>
      <c r="N37" t="inlineStr">
        <is>
          <t>OBI（DE）（只能到店／電話訂）；Globus Baumarkt（DE）（缺貨）；OBI AT（AT）（只能到店／電話訂）；ManoMano.it（IT）；hagebau（DE）（缺貨）；toom（DE）（可預訂）；hagebau.at（AT）（缺貨）；Bricozor（FR）；Woodies（IE）；eBay.de（DE）（不採計：這頁沒有型號或刀徑原文）；eBay.at（AT）；K-Rauta（FI）（不採計：這頁沒有型號或刀徑原文）；Netrauta.fi（FI）（不採計：這頁沒有型號或刀徑原文；促銷價：頁面現價 349.0、劃線原價 412.2（「ostajalle kaksi 4,0Ah akku-/laturipakettia hintaan」），採劃線原價（2026-10-22 表單））；OBI（HU）；OBI（CZ）；Castorama（FR）；Cdiscount（FR）</t>
        </is>
      </c>
      <c r="O37" t="inlineStr">
        <is>
          <t>一般</t>
        </is>
      </c>
    </row>
    <row r="38">
      <c r="A38" t="inlineStr">
        <is>
          <t>EMIS254S</t>
        </is>
      </c>
      <c r="B38">
        <f>IMAGE("https://media.castorama.fr/is/image/Castorama/scie-a-onglet-radiale-erbauer-emis254s-254-mm~3663602797265_50i_FR_CF?$MOB_PREV$&amp;$width=1200&amp;$height=1200")</f>
        <v/>
      </c>
      <c r="C38" t="inlineStr">
        <is>
          <t>零售品牌</t>
        </is>
      </c>
      <c r="D38" t="inlineStr">
        <is>
          <t>Erbauer</t>
        </is>
      </c>
      <c r="E38" t="inlineStr"/>
      <c r="F38" t="inlineStr">
        <is>
          <t>Dual</t>
        </is>
      </c>
      <c r="G38" t="inlineStr"/>
      <c r="H38" t="n">
        <v>254</v>
      </c>
      <c r="I38" t="inlineStr">
        <is>
          <t>Ø222~267mm</t>
        </is>
      </c>
      <c r="J38" t="n">
        <v>1800</v>
      </c>
      <c r="K38" t="n">
        <v>4500</v>
      </c>
      <c r="L38" t="inlineStr">
        <is>
          <t>https://www.castorama.fr/scie-a-onglet-radiale-erbauer-emis254s-254-mm/3663602797265_CAFR.prd</t>
        </is>
      </c>
      <c r="M38" s="2" t="n">
        <v>299</v>
      </c>
      <c r="N38" t="inlineStr">
        <is>
          <t>Castorama（FR）（促銷價：頁面現價 249、劃線原價 299（「produits: 3.74 étoiles sur 5 sur 35 avis produits 」），採劃線原價（2026-10-22 表單））</t>
        </is>
      </c>
      <c r="O38" t="inlineStr">
        <is>
          <t>一般</t>
        </is>
      </c>
    </row>
    <row r="39">
      <c r="A39" t="inlineStr">
        <is>
          <t>ERB1074MSW</t>
        </is>
      </c>
      <c r="B39">
        <f>IMAGE("https://media.screwfix.ie/is/image/ae235/485XV_P")</f>
        <v/>
      </c>
      <c r="C39" t="inlineStr">
        <is>
          <t>零售品牌</t>
        </is>
      </c>
      <c r="D39" t="inlineStr">
        <is>
          <t>Erbauer</t>
        </is>
      </c>
      <c r="E39" t="inlineStr"/>
      <c r="F39" t="inlineStr">
        <is>
          <t>Dual</t>
        </is>
      </c>
      <c r="G39" t="inlineStr"/>
      <c r="H39" t="n">
        <v>254</v>
      </c>
      <c r="I39" t="inlineStr">
        <is>
          <t>Ø222~267mm</t>
        </is>
      </c>
      <c r="J39" t="inlineStr"/>
      <c r="K39" t="inlineStr"/>
      <c r="L39" t="inlineStr">
        <is>
          <t>https://www.screwfix.com/p/erbauer-erb1074msw-254mm-electric-double-bevel-sliding-compound-mitre-saw-240v/485xv</t>
        </is>
      </c>
      <c r="M39" s="2" t="n">
        <v>225.15</v>
      </c>
      <c r="N39" t="inlineStr">
        <is>
          <t>Screwfix（GB）；Screwfix.ie（IE）（促銷價：頁面現價 219.95、劃線原價 239.95（「re Info View all: Erbauer Mitre Saws Save - 8% € 2」），採劃線原價（2026-10-22 表單））</t>
        </is>
      </c>
      <c r="O39" t="inlineStr">
        <is>
          <t>一般</t>
        </is>
      </c>
    </row>
    <row r="40">
      <c r="A40" t="inlineStr">
        <is>
          <t>F255SMS</t>
        </is>
      </c>
      <c r="B40">
        <f>IMAGE("https://d2fb1ew6v6wv87.cloudfront.net/products/5674264/s01/1400x1400/origin.webp")</f>
        <v/>
      </c>
      <c r="C40" t="inlineStr">
        <is>
          <t>零售品牌</t>
        </is>
      </c>
      <c r="D40" t="inlineStr">
        <is>
          <t>Evolution</t>
        </is>
      </c>
      <c r="E40" t="inlineStr"/>
      <c r="F40" t="inlineStr">
        <is>
          <t>Dual</t>
        </is>
      </c>
      <c r="G40" t="inlineStr"/>
      <c r="H40" t="n">
        <v>255</v>
      </c>
      <c r="I40" t="inlineStr">
        <is>
          <t>Ø222~267mm</t>
        </is>
      </c>
      <c r="J40" t="n">
        <v>1600</v>
      </c>
      <c r="K40" t="n">
        <v>3750</v>
      </c>
      <c r="L40" t="inlineStr">
        <is>
          <t>https://www.praxis.nl/gereedschap-werkplaats/elektrisch-gereedschap/zaagmachines/afkortzagen/evolution-afkortzaag-f255sms-1600w-gesnoerd-met-lasergeleider/5674264</t>
        </is>
      </c>
      <c r="M40" s="2" t="n">
        <v>249</v>
      </c>
      <c r="N40" t="inlineStr">
        <is>
          <t>Praxis（NL）（促銷價：頁面現價 199.2、劃線原價 249.0（「handgreep Met stofafzuiging Toon specificaties  20」），採劃線原價（2026-10-22 表單））；B&amp;Q（GB）</t>
        </is>
      </c>
      <c r="O40" t="inlineStr">
        <is>
          <t>一般</t>
        </is>
      </c>
    </row>
    <row r="41">
      <c r="A41" t="inlineStr">
        <is>
          <t>R255SMS+</t>
        </is>
      </c>
      <c r="B41">
        <f>IMAGE("https://media.screwfix.com/is/image/ae235/1062X_P")</f>
        <v/>
      </c>
      <c r="C41" t="inlineStr">
        <is>
          <t>零售品牌</t>
        </is>
      </c>
      <c r="D41" t="inlineStr">
        <is>
          <t>Evolution</t>
        </is>
      </c>
      <c r="E41" t="inlineStr">
        <is>
          <t>1.Miter Base</t>
        </is>
      </c>
      <c r="F41" t="inlineStr">
        <is>
          <t>Dual</t>
        </is>
      </c>
      <c r="G41" t="inlineStr"/>
      <c r="H41" t="n">
        <v>255</v>
      </c>
      <c r="I41" t="inlineStr">
        <is>
          <t>Ø222~267mm</t>
        </is>
      </c>
      <c r="J41" t="n">
        <v>2000</v>
      </c>
      <c r="K41" t="n">
        <v>2500</v>
      </c>
      <c r="L41" t="inlineStr">
        <is>
          <t>https://www.diy.com/departments/evolution-2000w-240v-255mm-corded-sliding-mitre-saw-r255sms/0849713073716_BQ.prd</t>
        </is>
      </c>
      <c r="M41" s="2" t="n">
        <v>235.82</v>
      </c>
      <c r="N41" t="inlineStr">
        <is>
          <t>B&amp;Q（GB）；Evolution webshop (de-shop.evolutionpowertools.com)（DE）；Toolstation（GB）（促銷價：頁面現價 189.99、劃線原價 219.99（「ion Delivery details Collection details ★★★★★ ★★★★」），採劃線原價（2026-10-22 表單））；eBay.co.uk（GB）；eBay.ie（IE）（跨境出貨（從 GB 出貨））；Leroy Merlin（RO）；Skroutz（GR）；Leroy Merlin（PL）；Evolution Power Tools IT（IT）；Praxis（NL）（不採計：這頁沒有型號或刀徑原文）；B&amp;Q Ireland（IE）；Screwfix（GB）（促銷價：頁面現價 159.99、劃線原價 199.99（「Info View all: Evolution Mitre Saws Save - 20% £ 1」），採劃線原價（2026-10-22 表單））；Screwfix.ie（IE）（促銷價：頁面現價 202.95、劃線原價 253.95（「Info View all: Evolution Mitre Saws Save - 20% € 2」），採劃線原價（2026-10-22 表單））</t>
        </is>
      </c>
      <c r="O41" t="inlineStr">
        <is>
          <t>一般</t>
        </is>
      </c>
    </row>
    <row r="42">
      <c r="A42" t="inlineStr">
        <is>
          <t>R255SMS-DB+</t>
        </is>
      </c>
      <c r="B42">
        <f>IMAGE("https://media.screwfix.com/is/image/ae235/128HF_P")</f>
        <v/>
      </c>
      <c r="C42" t="inlineStr">
        <is>
          <t>零售品牌</t>
        </is>
      </c>
      <c r="D42" t="inlineStr">
        <is>
          <t>Evolution</t>
        </is>
      </c>
      <c r="E42" t="inlineStr">
        <is>
          <t>1.Miter Base</t>
        </is>
      </c>
      <c r="F42" t="inlineStr">
        <is>
          <t>Dual</t>
        </is>
      </c>
      <c r="G42" t="inlineStr"/>
      <c r="H42" t="n">
        <v>255</v>
      </c>
      <c r="I42" t="inlineStr">
        <is>
          <t>Ø222~267mm</t>
        </is>
      </c>
      <c r="J42" t="n">
        <v>2000</v>
      </c>
      <c r="K42" t="n">
        <v>2600</v>
      </c>
      <c r="L42" t="inlineStr">
        <is>
          <t>https://www.screwfix.com/p/evolution-r255sms-db-255mm-electric-double-bevel-sliding-multi-material-mitre-saw-220-240v/128hf</t>
        </is>
      </c>
      <c r="M42" s="2" t="n">
        <v>296.25</v>
      </c>
      <c r="N42" t="inlineStr">
        <is>
          <t>Screwfix（GB）；Evolution webshop (de-shop.evolutionpowertools.com)（DE）；Toolstation（GB）；eBay.de（DE）（跨境出貨（從 GB 出貨））；ManoMano.co.uk（GB）；eBay.at（AT）（跨境出貨（從 GB 出貨））；Evolution Power Tools IT（IT）；ManoMano ES（ES）；Screwfix.ie（IE）；B&amp;Q（GB）</t>
        </is>
      </c>
      <c r="O42" t="inlineStr">
        <is>
          <t>一般</t>
        </is>
      </c>
    </row>
    <row r="43">
      <c r="A43" t="inlineStr">
        <is>
          <t>R255SMS-DB-Li</t>
        </is>
      </c>
      <c r="B43">
        <f>IMAGE("https://evolutionpowertools.it/cdn/shop/files/B0CM7236KW.MAIN_1200x1200.jpg?v=1740055602")</f>
        <v/>
      </c>
      <c r="C43" t="inlineStr">
        <is>
          <t>零售品牌</t>
        </is>
      </c>
      <c r="D43" t="inlineStr">
        <is>
          <t>Evolution</t>
        </is>
      </c>
      <c r="E43" t="inlineStr">
        <is>
          <t>1.Miter Base</t>
        </is>
      </c>
      <c r="F43" t="inlineStr">
        <is>
          <t>Dual</t>
        </is>
      </c>
      <c r="G43" t="inlineStr"/>
      <c r="H43" t="n">
        <v>255</v>
      </c>
      <c r="I43" t="inlineStr">
        <is>
          <t>Ø222~267mm</t>
        </is>
      </c>
      <c r="J43" t="inlineStr"/>
      <c r="K43" t="inlineStr">
        <is>
          <t>3000</t>
        </is>
      </c>
      <c r="L43" t="inlineStr">
        <is>
          <t>https://evolutionpowertools.it/products/evolution-troncatrice-radiale-a-batteria-r255sms-db-li-255mm-doppio-smusso-e-lama-multi-materiale-senza-batteria-e-caricatore?_pos=14&amp;_sid=c6aea2435&amp;_ss=r</t>
        </is>
      </c>
      <c r="M43" s="2" t="n">
        <v>409.95</v>
      </c>
      <c r="N43" t="inlineStr">
        <is>
          <t>Evolution Power Tools IT（IT）；B&amp;Q（GB）</t>
        </is>
      </c>
      <c r="O43" t="inlineStr">
        <is>
          <t>一般</t>
        </is>
      </c>
    </row>
    <row r="44">
      <c r="A44" t="inlineStr">
        <is>
          <t>11734</t>
        </is>
      </c>
      <c r="B44">
        <f>IMAGE("https://media.diy.com/is/image/KingfisherDigital/excel-255mm-sliding-mitre-saw-2000w-240v-double-bevel-with-laser-guide-for-precise-wood-cutting-in-joinery-diy-trade-use~0743031864219_01c_MP?$MOB_PREV$&amp;$width=1200&amp;$height=1200")</f>
        <v/>
      </c>
      <c r="C44" t="inlineStr">
        <is>
          <t>零售品牌</t>
        </is>
      </c>
      <c r="D44" t="inlineStr">
        <is>
          <t>Excel</t>
        </is>
      </c>
      <c r="E44" t="inlineStr"/>
      <c r="F44" t="inlineStr">
        <is>
          <t>Dual</t>
        </is>
      </c>
      <c r="G44" t="inlineStr"/>
      <c r="H44" t="n">
        <v>255</v>
      </c>
      <c r="I44" t="inlineStr">
        <is>
          <t>Ø222~267mm</t>
        </is>
      </c>
      <c r="J44" t="n">
        <v>2000</v>
      </c>
      <c r="K44" t="n">
        <v>5000</v>
      </c>
      <c r="L44" t="inlineStr">
        <is>
          <t>https://www.diy.com/departments/excel-255mm-sliding-mitre-saw-2000w-240v-double-bevel-with-laser-guide-for-precise-wood-cutting-in-joinery-diy-trade-use/0743031864219_BQ.prd</t>
        </is>
      </c>
      <c r="M44" s="2" t="n">
        <v>213.3</v>
      </c>
      <c r="N44" t="inlineStr">
        <is>
          <t>B&amp;Q（GB）</t>
        </is>
      </c>
      <c r="O44" t="inlineStr">
        <is>
          <t>一般</t>
        </is>
      </c>
    </row>
    <row r="45">
      <c r="A45" t="inlineStr">
        <is>
          <t>DMS 255</t>
        </is>
      </c>
      <c r="B45">
        <f>IMAGE("https://media.castorama.fr/is/image/Castorama/scie-a-onglet-radiale-dms-255-2000w-fartools~3431541132207_01c_FR_CF?$MOB_PREV$&amp;$width=1200&amp;$height=1200")</f>
        <v/>
      </c>
      <c r="C45" t="inlineStr">
        <is>
          <t>零售品牌</t>
        </is>
      </c>
      <c r="D45" t="inlineStr">
        <is>
          <t>Fartools</t>
        </is>
      </c>
      <c r="E45" t="inlineStr">
        <is>
          <t>1.Miter Base</t>
        </is>
      </c>
      <c r="F45" t="inlineStr"/>
      <c r="G45" t="inlineStr"/>
      <c r="H45" t="n">
        <v>255</v>
      </c>
      <c r="I45" t="inlineStr">
        <is>
          <t>Ø222~267mm</t>
        </is>
      </c>
      <c r="J45" t="n">
        <v>2000</v>
      </c>
      <c r="K45" t="n">
        <v>4500</v>
      </c>
      <c r="L45" t="inlineStr">
        <is>
          <t>https://www.castorama.fr/scie-a-onglet-radiale-dms-255-2000w-fartools/3431541132207_CAFR.prd</t>
        </is>
      </c>
      <c r="M45" s="2" t="n">
        <v>359.9</v>
      </c>
      <c r="N45" t="inlineStr">
        <is>
          <t>Castorama（FR）；Bricozor（FR）</t>
        </is>
      </c>
      <c r="O45" t="inlineStr">
        <is>
          <t>一般</t>
        </is>
      </c>
    </row>
    <row r="46">
      <c r="A46" t="inlineStr">
        <is>
          <t>SBM 255</t>
        </is>
      </c>
      <c r="B46">
        <f>IMAGE("https://www.cdiscount.com/pdt2/4/7/1/1/700x700/far1697263161471/rw/scie-a-onglet-radiale-d-254-mm-multi-materiaux-sbm.jpg")</f>
        <v/>
      </c>
      <c r="C46" t="inlineStr">
        <is>
          <t>零售品牌</t>
        </is>
      </c>
      <c r="D46" t="inlineStr">
        <is>
          <t>Fartools</t>
        </is>
      </c>
      <c r="E46" t="inlineStr">
        <is>
          <t>1.Miter Base</t>
        </is>
      </c>
      <c r="F46" t="inlineStr">
        <is>
          <t>Single</t>
        </is>
      </c>
      <c r="G46" t="inlineStr"/>
      <c r="H46" t="n">
        <v>254</v>
      </c>
      <c r="I46" t="inlineStr">
        <is>
          <t>Ø222~267mm</t>
        </is>
      </c>
      <c r="J46" t="n">
        <v>2000</v>
      </c>
      <c r="K46" t="inlineStr"/>
      <c r="L46" t="inlineStr">
        <is>
          <t>https://www.cdiscount.com/bricolage/outillage/scie-a-onglet-radiale-d-254-mm-multi-materiaux-sbm/f-166010106-far1697263161471.html</t>
        </is>
      </c>
      <c r="M46" s="2" t="n">
        <v>215</v>
      </c>
      <c r="N46" t="inlineStr">
        <is>
          <t>Cdiscount（FR）；Castorama（FR）</t>
        </is>
      </c>
      <c r="O46" t="inlineStr">
        <is>
          <t>一般</t>
        </is>
      </c>
    </row>
    <row r="47">
      <c r="A47" t="inlineStr">
        <is>
          <t>TR1025/B</t>
        </is>
      </c>
      <c r="B47">
        <f>IMAGE("https://media.ferramentas.pt/catalog/product/s/e/serra_de_esquadria_deslizante_para_madeira_e_alum_nio_255mm_2000w_femi_tr1025b.jpg?width=265&amp;height=265&amp;store=default&amp;image-type=image")</f>
        <v/>
      </c>
      <c r="C47" t="inlineStr">
        <is>
          <t>OEM 品牌</t>
        </is>
      </c>
      <c r="D47" t="inlineStr">
        <is>
          <t>Femi</t>
        </is>
      </c>
      <c r="E47" t="inlineStr">
        <is>
          <t>1.Miter Base</t>
        </is>
      </c>
      <c r="F47" t="inlineStr"/>
      <c r="G47" t="inlineStr"/>
      <c r="H47" t="n">
        <v>255</v>
      </c>
      <c r="I47" t="inlineStr">
        <is>
          <t>Ø222~267mm</t>
        </is>
      </c>
      <c r="J47" t="n">
        <v>2000</v>
      </c>
      <c r="K47" t="n">
        <v>4500</v>
      </c>
      <c r="L47" t="inlineStr">
        <is>
          <t>https://www.manomano.it/p/femi-job-line-troncatrice-radiale-per-legno-255-mm-con-laser-2000-w-tr1025b-cod-8425031-88255187</t>
        </is>
      </c>
      <c r="M47" s="2" t="n">
        <v>270</v>
      </c>
      <c r="N47" t="inlineStr">
        <is>
          <t>ManoMano.it（IT）；Ferramentas.pt（PT）（促銷價：頁面現價 248.96、劃線原價 318.57（「ra e alumínio 2000W FEMI TR1025B Special Price 248」），採劃線原價（2026-10-22 表單））</t>
        </is>
      </c>
      <c r="O47" t="inlineStr">
        <is>
          <t>一般</t>
        </is>
      </c>
    </row>
    <row r="48">
      <c r="A48" t="inlineStr">
        <is>
          <t>TR1025A</t>
        </is>
      </c>
      <c r="B48">
        <f>IMAGE("https://media.ferramentas.pt/catalog/product/s/e/serra_de_esquadria_255mm_2200w_femi_tr1025a.jpg?width=265&amp;height=265&amp;store=default&amp;image-type=image")</f>
        <v/>
      </c>
      <c r="C48" t="inlineStr">
        <is>
          <t>OEM 品牌</t>
        </is>
      </c>
      <c r="D48" t="inlineStr">
        <is>
          <t>Femi</t>
        </is>
      </c>
      <c r="E48" t="inlineStr">
        <is>
          <t>1.Miter Base</t>
        </is>
      </c>
      <c r="F48" t="inlineStr"/>
      <c r="G48" t="inlineStr"/>
      <c r="H48" t="n">
        <v>255</v>
      </c>
      <c r="I48" t="inlineStr">
        <is>
          <t>Ø222~267mm</t>
        </is>
      </c>
      <c r="J48" t="inlineStr"/>
      <c r="K48" t="inlineStr"/>
      <c r="L48" t="inlineStr">
        <is>
          <t>https://ferramentas.pt/serra-de-esquadria-femi-tr1025a-para-madeira-e-aluminio.html</t>
        </is>
      </c>
      <c r="M48" s="2" t="n">
        <v>404.67</v>
      </c>
      <c r="N48" t="inlineStr">
        <is>
          <t>Ferramentas.pt（PT）（促銷價：頁面現價 319.75、劃線原價 404.67（「quadria 255mm 2200W FEMI TR1025A Special Price 319」），採劃線原價（2026-10-22 表單））</t>
        </is>
      </c>
      <c r="O48" t="inlineStr">
        <is>
          <t>一般</t>
        </is>
      </c>
    </row>
    <row r="49">
      <c r="A49" t="inlineStr">
        <is>
          <t>MSM1040</t>
        </is>
      </c>
      <c r="B49">
        <f>IMAGE("https://d2fb1ew6v6wv87.cloudfront.net/products/10137021/s00/1400x1400/origin.webp")</f>
        <v/>
      </c>
      <c r="C49" t="inlineStr">
        <is>
          <t>零售品牌</t>
        </is>
      </c>
      <c r="D49" t="inlineStr">
        <is>
          <t>Ferm</t>
        </is>
      </c>
      <c r="E49" t="inlineStr">
        <is>
          <t>1.Miter Base</t>
        </is>
      </c>
      <c r="F49" t="inlineStr">
        <is>
          <t>Single</t>
        </is>
      </c>
      <c r="G49" t="inlineStr"/>
      <c r="H49" t="n">
        <v>254</v>
      </c>
      <c r="I49" t="inlineStr">
        <is>
          <t>Ø222~267mm</t>
        </is>
      </c>
      <c r="J49" t="n">
        <v>1900</v>
      </c>
      <c r="K49" t="n">
        <v>5000</v>
      </c>
      <c r="L49" t="inlineStr">
        <is>
          <t>https://www.brico.be/nl/gereedschap-werkplaats/elektrisch-gereedschap/zaagmachines/afkortzagen/ferm-radiaal-afkort-verstekzaag-1900w-254mm/10137021</t>
        </is>
      </c>
      <c r="M49" s="2" t="n">
        <v>179.95</v>
      </c>
      <c r="N49" t="inlineStr">
        <is>
          <t>Brico（BE）；Skroutz（GR）</t>
        </is>
      </c>
      <c r="O49" t="inlineStr">
        <is>
          <t>一般</t>
        </is>
      </c>
    </row>
    <row r="50">
      <c r="A50" t="inlineStr">
        <is>
          <t>KS 120 EB</t>
        </is>
      </c>
      <c r="B50">
        <f>IMAGE("https://media.hornbach.de/mp/packshot/67f628d7-a807-4952-8a32-4ed37b08a06b?size=1400")</f>
        <v/>
      </c>
      <c r="C50" t="inlineStr">
        <is>
          <t>OEM 品牌</t>
        </is>
      </c>
      <c r="D50" t="inlineStr">
        <is>
          <t>Festool</t>
        </is>
      </c>
      <c r="E50" t="inlineStr">
        <is>
          <t>1.Miter Base</t>
        </is>
      </c>
      <c r="F50" t="inlineStr">
        <is>
          <t>Dual</t>
        </is>
      </c>
      <c r="G50" t="inlineStr"/>
      <c r="H50" t="n">
        <v>260</v>
      </c>
      <c r="I50" t="inlineStr">
        <is>
          <t>Ø222~267mm</t>
        </is>
      </c>
      <c r="J50" t="n">
        <v>1600</v>
      </c>
      <c r="K50" t="inlineStr">
        <is>
          <t>1400-3400</t>
        </is>
      </c>
      <c r="L50" t="inlineStr">
        <is>
          <t>https://www.hornbach.de/p/festool-ks-120-eb-kapex-kapp-zugsaege-1600w-260-mm-561283-saegeblatt-hw/12242709/</t>
        </is>
      </c>
      <c r="M50" s="2" t="n">
        <v>1639.44</v>
      </c>
      <c r="N50" t="inlineStr">
        <is>
          <t>Hornbach（DE）</t>
        </is>
      </c>
      <c r="O50" t="inlineStr">
        <is>
          <t>一般</t>
        </is>
      </c>
    </row>
    <row r="51">
      <c r="A51" t="inlineStr">
        <is>
          <t>KS 120 REB</t>
        </is>
      </c>
      <c r="B51">
        <f>IMAGE("https://cdn.axminstertools.com/media/catalog/product/cache/178130bff8f35812b0f00b2e75c662fd/1/0/105629_xl.jpg")</f>
        <v/>
      </c>
      <c r="C51" t="inlineStr">
        <is>
          <t>OEM 品牌</t>
        </is>
      </c>
      <c r="D51" t="inlineStr">
        <is>
          <t>Festool</t>
        </is>
      </c>
      <c r="E51" t="inlineStr">
        <is>
          <t>1.Miter Base</t>
        </is>
      </c>
      <c r="F51" t="inlineStr">
        <is>
          <t>Dual</t>
        </is>
      </c>
      <c r="G51" t="inlineStr"/>
      <c r="H51" t="n">
        <v>260</v>
      </c>
      <c r="I51" t="inlineStr">
        <is>
          <t>Ø222~267mm</t>
        </is>
      </c>
      <c r="J51" t="n">
        <v>1600</v>
      </c>
      <c r="K51" t="inlineStr">
        <is>
          <t>1400-3400</t>
        </is>
      </c>
      <c r="L51" t="inlineStr">
        <is>
          <t>https://www.axminstertools.com/festool-kapex-ks120-reb-mitre-saw-extensions-230v-105629</t>
        </is>
      </c>
      <c r="M51" s="2" t="n">
        <v>1451.66</v>
      </c>
      <c r="N51" t="inlineStr">
        <is>
          <t>Axminster Tools（GB）；WowTools（GB）；Sautershop（DE）；Hornbach（DE）；Bricozor（FR）；Tooled-Up（GB）；OTTO（DE）；ManoMano.it（IT）（不採計：這頁沒有型號或刀徑原文）；Festool catalog（DE）</t>
        </is>
      </c>
      <c r="O51" t="inlineStr">
        <is>
          <t>一般</t>
        </is>
      </c>
    </row>
    <row r="52">
      <c r="A52" t="inlineStr">
        <is>
          <t>SCMS 254 PLUS</t>
        </is>
      </c>
      <c r="B52">
        <f>IMAGE("https://cdn.manomano.com/pim-media/images/medium/1e2b50a0344f3ea17daa2afd46049b5e6ffe6859.jpg")</f>
        <v/>
      </c>
      <c r="C52" t="inlineStr">
        <is>
          <t>零售品牌</t>
        </is>
      </c>
      <c r="D52" t="inlineStr">
        <is>
          <t>FF Group</t>
        </is>
      </c>
      <c r="E52" t="inlineStr">
        <is>
          <t>1.Miter Base</t>
        </is>
      </c>
      <c r="F52" t="inlineStr"/>
      <c r="G52" t="inlineStr"/>
      <c r="H52" t="n">
        <v>254</v>
      </c>
      <c r="I52" t="inlineStr">
        <is>
          <t>Ø222~267mm</t>
        </is>
      </c>
      <c r="J52" t="n">
        <v>2000</v>
      </c>
      <c r="K52" t="n">
        <v>4800</v>
      </c>
      <c r="L52" t="inlineStr">
        <is>
          <t>https://www.manomano.it/p/ff-group-scms-254-plus-troncatrice-radiale-2000w-semi-professionale-con-lama-da-254mm-92931084</t>
        </is>
      </c>
      <c r="M52" s="2" t="n">
        <v>320.76</v>
      </c>
      <c r="N52" t="inlineStr">
        <is>
          <t>ManoMano.it（IT）</t>
        </is>
      </c>
      <c r="O52" t="inlineStr">
        <is>
          <t>一般</t>
        </is>
      </c>
    </row>
    <row r="53">
      <c r="A53" t="inlineStr">
        <is>
          <t>HM1030A</t>
        </is>
      </c>
      <c r="B53">
        <f>IMAGE("https://productimages.hepsiburada.net/s/777/424-600/110000643749153.jpg/format:webp")</f>
        <v/>
      </c>
      <c r="C53" t="inlineStr">
        <is>
          <t>零售品牌</t>
        </is>
      </c>
      <c r="D53" t="inlineStr">
        <is>
          <t>Hais</t>
        </is>
      </c>
      <c r="E53" t="inlineStr">
        <is>
          <t>1.Miter Base</t>
        </is>
      </c>
      <c r="F53" t="inlineStr"/>
      <c r="G53" t="inlineStr"/>
      <c r="H53" t="n">
        <v>255</v>
      </c>
      <c r="I53" t="inlineStr">
        <is>
          <t>Ø222~267mm</t>
        </is>
      </c>
      <c r="J53" t="n">
        <v>2000</v>
      </c>
      <c r="K53" t="n">
        <v>4500</v>
      </c>
      <c r="L53" t="inlineStr">
        <is>
          <t>https://www.hepsiburada.com/hais-kizakli-gonye-kesme-makinesi-255-mm-2000-watt-pm-HBC0000614F1M</t>
        </is>
      </c>
      <c r="M53" s="2" t="n">
        <v>269.14</v>
      </c>
      <c r="N53" t="inlineStr">
        <is>
          <t>Hepsiburada（TR）</t>
        </is>
      </c>
      <c r="O53" t="inlineStr">
        <is>
          <t>一般</t>
        </is>
      </c>
    </row>
    <row r="54">
      <c r="A54" t="inlineStr">
        <is>
          <t>HECHT 820</t>
        </is>
      </c>
      <c r="B54">
        <f>IMAGE("https://i00.eu/img/563/1600x1600/mltyy2p3/14850.jpg")</f>
        <v/>
      </c>
      <c r="C54" t="inlineStr">
        <is>
          <t>零售品牌</t>
        </is>
      </c>
      <c r="D54" t="inlineStr">
        <is>
          <t>Hecht</t>
        </is>
      </c>
      <c r="E54" t="inlineStr">
        <is>
          <t>1.Miter Base</t>
        </is>
      </c>
      <c r="F54" t="inlineStr">
        <is>
          <t>Dual</t>
        </is>
      </c>
      <c r="G54" t="inlineStr"/>
      <c r="H54" t="n">
        <v>255</v>
      </c>
      <c r="I54" t="inlineStr">
        <is>
          <t>Ø222~267mm</t>
        </is>
      </c>
      <c r="J54" t="n">
        <v>2350</v>
      </c>
      <c r="K54" t="n">
        <v>4200</v>
      </c>
      <c r="L54" t="inlineStr">
        <is>
          <t>https://cz.hecht.cz/pokosova-pila-s-laserem-hecht-820</t>
        </is>
      </c>
      <c r="M54" s="2" t="n">
        <v>225.71</v>
      </c>
      <c r="N54" t="inlineStr">
        <is>
          <t>Hecht (brand webshop)（CZ）</t>
        </is>
      </c>
      <c r="O54" t="inlineStr">
        <is>
          <t>一般</t>
        </is>
      </c>
    </row>
    <row r="55">
      <c r="A55" t="inlineStr">
        <is>
          <t>C3610DRA</t>
        </is>
      </c>
      <c r="B55">
        <f>IMAGE("https://cdn.manomano.com/pim-media/images/medium/0107435296eee36bb4af193c67955dea9571be2d.jpg")</f>
        <v/>
      </c>
      <c r="C55" t="inlineStr">
        <is>
          <t>OEM 品牌</t>
        </is>
      </c>
      <c r="D55" t="inlineStr">
        <is>
          <t>HiKOKI</t>
        </is>
      </c>
      <c r="E55" t="inlineStr">
        <is>
          <t>1.Miter Base</t>
        </is>
      </c>
      <c r="F55" t="inlineStr">
        <is>
          <t>Dual</t>
        </is>
      </c>
      <c r="G55" t="inlineStr"/>
      <c r="H55" t="n">
        <v>255</v>
      </c>
      <c r="I55" t="inlineStr">
        <is>
          <t>Ø222~267mm</t>
        </is>
      </c>
      <c r="J55" t="inlineStr"/>
      <c r="K55" t="n">
        <v>4000</v>
      </c>
      <c r="L55" t="inlineStr">
        <is>
          <t>https://www.manomano.it/p/hikoki-troncatrice-radiale-a-batteria-36v-c3610dra-senza-batteria-senza-caricatore-c3610draw4z-12033858</t>
        </is>
      </c>
      <c r="M55" s="2" t="n">
        <v>707.97</v>
      </c>
      <c r="N55" t="inlineStr">
        <is>
          <t>ManoMano.it（IT）；Hornbach.se（SE）（不採計：這頁沒有型號或刀徑原文）；Ferramentas.pt（PT）（促銷價：頁面現價 851.47、劃線原價 1135.29（「ria 255mm 36V Hikoki C3610DRAW4Z Special Price 851」），採劃線原價（2026-10-22 表單））</t>
        </is>
      </c>
      <c r="O55" t="inlineStr">
        <is>
          <t>一般</t>
        </is>
      </c>
    </row>
    <row r="56">
      <c r="A56" t="inlineStr">
        <is>
          <t>HYD-250L-M</t>
        </is>
      </c>
      <c r="B56">
        <f>IMAGE("https://bilder.obi.hu/508fa009-0abc-446a-a2cd-e02d1be36483/prZZL/496730_3881.jpg")</f>
        <v/>
      </c>
      <c r="C56" t="inlineStr">
        <is>
          <t>零售品牌</t>
        </is>
      </c>
      <c r="D56" t="inlineStr">
        <is>
          <t>Hyundai</t>
        </is>
      </c>
      <c r="E56" t="inlineStr">
        <is>
          <t>1.Miter Base</t>
        </is>
      </c>
      <c r="F56" t="inlineStr"/>
      <c r="G56" t="inlineStr"/>
      <c r="H56" t="n">
        <v>255</v>
      </c>
      <c r="I56" t="inlineStr">
        <is>
          <t>Ø222~267mm</t>
        </is>
      </c>
      <c r="J56" t="n">
        <v>2000</v>
      </c>
      <c r="K56" t="n">
        <v>5000</v>
      </c>
      <c r="L56" t="inlineStr">
        <is>
          <t>https://www.obi.hu/leszabo-gervago-fureszek/hyundai-hyd-250l-m-kihuzhato-lezeres-gervago/p/4967303</t>
        </is>
      </c>
      <c r="M56" s="2" t="n">
        <v>316.71</v>
      </c>
      <c r="N56" t="inlineStr">
        <is>
          <t>OBI（HU）</t>
        </is>
      </c>
      <c r="O56" t="inlineStr">
        <is>
          <t>一般</t>
        </is>
      </c>
    </row>
    <row r="57">
      <c r="A57" t="inlineStr">
        <is>
          <t>KH483.9</t>
        </is>
      </c>
      <c r="B57">
        <f>IMAGE("https://image03.idefix.com/resize/1000/0/product/13279062/kress-kh4839-40volt-1400w-254mm-komursuz-kizakli-bluetooth-baglantili-profesyonel-gonye-kesme-aku-dahil-degildir-68ad8b7683cc4.jpg")</f>
        <v/>
      </c>
      <c r="C57" t="inlineStr">
        <is>
          <t>OEM 品牌</t>
        </is>
      </c>
      <c r="D57" t="inlineStr">
        <is>
          <t>Kress</t>
        </is>
      </c>
      <c r="E57" t="inlineStr">
        <is>
          <t>1.Miter Base</t>
        </is>
      </c>
      <c r="F57" t="inlineStr"/>
      <c r="G57" t="inlineStr"/>
      <c r="H57" t="n">
        <v>254</v>
      </c>
      <c r="I57" t="inlineStr">
        <is>
          <t>Ø222~267mm</t>
        </is>
      </c>
      <c r="J57" t="inlineStr"/>
      <c r="K57" t="inlineStr"/>
      <c r="L57" t="inlineStr">
        <is>
          <t>https://www.idefix.com/kress-kh4839-40volt-1400w-254mm-komursuz-kizakli-bluetooth-baglantili-profesyonel-gonye-kesme-aku-dahil-degildir-p-13279062</t>
        </is>
      </c>
      <c r="M57" s="2" t="n">
        <v>563.67</v>
      </c>
      <c r="N57" t="inlineStr">
        <is>
          <t>idefix（TR）</t>
        </is>
      </c>
      <c r="O57" t="inlineStr">
        <is>
          <t>一般</t>
        </is>
      </c>
    </row>
    <row r="58">
      <c r="A58" t="inlineStr">
        <is>
          <t>SOR250</t>
        </is>
      </c>
      <c r="B58">
        <f>IMAGE("https://media.castorama.fr/is/image/Castorama/scie-a-onglets-radiale-diam-255-livr-e-avec-1-lame-964-255-3040-sor250-leman~3661589080950_01c_MP?$MOB_PREV$&amp;$width=1200&amp;$height=1200")</f>
        <v/>
      </c>
      <c r="C58" t="inlineStr">
        <is>
          <t>零售品牌</t>
        </is>
      </c>
      <c r="D58" t="inlineStr">
        <is>
          <t>Leman</t>
        </is>
      </c>
      <c r="E58" t="inlineStr">
        <is>
          <t>1.Miter Base</t>
        </is>
      </c>
      <c r="F58" t="inlineStr">
        <is>
          <t>Single</t>
        </is>
      </c>
      <c r="G58" t="inlineStr"/>
      <c r="H58" t="n">
        <v>255</v>
      </c>
      <c r="I58" t="inlineStr">
        <is>
          <t>Ø222~267mm</t>
        </is>
      </c>
      <c r="J58" t="n">
        <v>2000</v>
      </c>
      <c r="K58" t="inlineStr">
        <is>
          <t>5000</t>
        </is>
      </c>
      <c r="L58" t="inlineStr">
        <is>
          <t>https://www.manomano.it/p/leman-sor250-sega-troncatrice-per-tagli-obliqui-radiale-255-mm-74786130</t>
        </is>
      </c>
      <c r="M58" s="2" t="n">
        <v>370</v>
      </c>
      <c r="N58" t="inlineStr">
        <is>
          <t>ManoMano.it（IT）；Bricozor（FR）；Castorama（FR）（促銷價：頁面現價 345.31、劃線原價 397.11（「t: 0 étoiles sur 5 à partir de 0 évaluation du pro」），採劃線原價（2026-10-22 表單））</t>
        </is>
      </c>
      <c r="O58" t="inlineStr">
        <is>
          <t>一般</t>
        </is>
      </c>
    </row>
    <row r="59">
      <c r="A59" t="inlineStr">
        <is>
          <t>DLS110</t>
        </is>
      </c>
      <c r="B59">
        <f>IMAGE("https://walshplant.ie/cdn/shop/files/makita-mitre-saw-makita-dls110z-twin-18v-cordless-brushless-slide-compound-260mm-mitre-saw-bare-unit-1239476304_1200x1200.jpg?v=1780013473")</f>
        <v/>
      </c>
      <c r="C59" t="inlineStr">
        <is>
          <t>OEM 品牌</t>
        </is>
      </c>
      <c r="D59" t="inlineStr">
        <is>
          <t>Makita</t>
        </is>
      </c>
      <c r="E59" t="inlineStr">
        <is>
          <t>1.Miter Base</t>
        </is>
      </c>
      <c r="F59" t="inlineStr">
        <is>
          <t>Dual</t>
        </is>
      </c>
      <c r="G59" t="inlineStr">
        <is>
          <t>Front Rail</t>
        </is>
      </c>
      <c r="H59" t="n">
        <v>260</v>
      </c>
      <c r="I59" t="inlineStr">
        <is>
          <t>Ø222~267mm</t>
        </is>
      </c>
      <c r="J59" t="inlineStr"/>
      <c r="K59" t="n">
        <v>4400</v>
      </c>
      <c r="L59" t="inlineStr">
        <is>
          <t>https://walshplant.ie/products/dls110</t>
        </is>
      </c>
      <c r="M59" s="2" t="n">
        <v>985</v>
      </c>
      <c r="N59" t="inlineStr">
        <is>
          <t>Walsh Plant（IE）</t>
        </is>
      </c>
      <c r="O59" t="inlineStr">
        <is>
          <t>一般</t>
        </is>
      </c>
    </row>
    <row r="60">
      <c r="A60" t="inlineStr">
        <is>
          <t>DLS111ZU</t>
        </is>
      </c>
      <c r="B60">
        <f>IMAGE("https://bilder.obi.de/691ba193-10aa-48d3-a9db-1c3b88b62c25/prZZD/image.jpeg")</f>
        <v/>
      </c>
      <c r="C60" t="inlineStr">
        <is>
          <t>OEM 品牌</t>
        </is>
      </c>
      <c r="D60" t="inlineStr">
        <is>
          <t>Makita</t>
        </is>
      </c>
      <c r="E60" t="inlineStr">
        <is>
          <t>1.Miter Base</t>
        </is>
      </c>
      <c r="F60" t="inlineStr">
        <is>
          <t>Dual</t>
        </is>
      </c>
      <c r="G60" t="inlineStr"/>
      <c r="H60" t="n">
        <v>260</v>
      </c>
      <c r="I60" t="inlineStr">
        <is>
          <t>Ø222~267mm</t>
        </is>
      </c>
      <c r="J60" t="inlineStr"/>
      <c r="K60" t="n">
        <v>4400</v>
      </c>
      <c r="L60" t="inlineStr">
        <is>
          <t>https://www.obi.de/p/4910519/makita-akku-kapp-und-gehrungssaege-dls111zu</t>
        </is>
      </c>
      <c r="M60" s="2" t="n">
        <v>959.99</v>
      </c>
      <c r="N60" t="inlineStr">
        <is>
          <t>OBI（DE）（只能到店／電話訂）；220.lv（LV）；Bauhaus.fi（FI）；Ferramentas.pt（PT）（促銷價：頁面現價 915.91、劃線原價 1648.2（「elescópica 18Vx2 Makita DLS111ZU Special Price 915」），採劃線原價（2026-10-22 表單））；K-Rauta（FI）；ManoMano.it（IT）（不採計：這頁沒有型號或刀徑原文）；ManoMano ES（ES）</t>
        </is>
      </c>
      <c r="O60" t="inlineStr">
        <is>
          <t>一般</t>
        </is>
      </c>
    </row>
    <row r="61">
      <c r="A61" t="inlineStr">
        <is>
          <t>LS004GZ01</t>
        </is>
      </c>
      <c r="B61">
        <f>IMAGE("https://media.ferramentas.pt/catalog/product/1/_/1_222.png?width=265&amp;height=265&amp;store=default&amp;image-type=image")</f>
        <v/>
      </c>
      <c r="C61" t="inlineStr">
        <is>
          <t>OEM 品牌</t>
        </is>
      </c>
      <c r="D61" t="inlineStr">
        <is>
          <t>Makita</t>
        </is>
      </c>
      <c r="E61" t="inlineStr">
        <is>
          <t>1.Miter Base</t>
        </is>
      </c>
      <c r="F61" t="inlineStr">
        <is>
          <t>Dual</t>
        </is>
      </c>
      <c r="G61" t="inlineStr"/>
      <c r="H61" t="n">
        <v>260</v>
      </c>
      <c r="I61" t="inlineStr">
        <is>
          <t>Ø222~267mm</t>
        </is>
      </c>
      <c r="J61" t="inlineStr"/>
      <c r="K61" t="n">
        <v>3600</v>
      </c>
      <c r="L61" t="inlineStr">
        <is>
          <t>https://ferramentas.pt/serra-de-esquadria-telescopica-260mm-xgt-40v-makita-ls004gz01.html</t>
        </is>
      </c>
      <c r="M61" s="2" t="n">
        <v>1279</v>
      </c>
      <c r="N61" t="inlineStr">
        <is>
          <t>Ferramentas.pt（PT）（促銷價：頁面現價 898.5、劃線原價 1279.0（「a 260mm XGT 40V Makita LS004GZ01 Special Price 898」），採劃線原價（2026-10-22 表單））</t>
        </is>
      </c>
      <c r="O61" t="inlineStr">
        <is>
          <t>一般</t>
        </is>
      </c>
    </row>
    <row r="62">
      <c r="A62" t="inlineStr">
        <is>
          <t>LS1018LN</t>
        </is>
      </c>
      <c r="B62">
        <f>IMAGE("https://media.hornbach.lu/hb/packshot/as.47033212.jpg?dvid=8")</f>
        <v/>
      </c>
      <c r="C62" t="inlineStr">
        <is>
          <t>OEM 品牌</t>
        </is>
      </c>
      <c r="D62" t="inlineStr">
        <is>
          <t>Makita</t>
        </is>
      </c>
      <c r="E62" t="inlineStr">
        <is>
          <t>1.Miter Base</t>
        </is>
      </c>
      <c r="F62" t="inlineStr">
        <is>
          <t>Dual</t>
        </is>
      </c>
      <c r="G62" t="inlineStr"/>
      <c r="H62" t="n">
        <v>260</v>
      </c>
      <c r="I62" t="inlineStr">
        <is>
          <t>Ø222~267mm</t>
        </is>
      </c>
      <c r="J62" t="n">
        <v>1430</v>
      </c>
      <c r="K62" t="n">
        <v>4300</v>
      </c>
      <c r="L62" t="inlineStr">
        <is>
          <t>https://www.hornbach.lu/fr/p/scie-universelle-a-traction-et-a-onglet-makita-ls1018ln-avec-lame-de-scie-260x30-mm/10067478/</t>
        </is>
      </c>
      <c r="M62" s="2" t="n">
        <v>409.9</v>
      </c>
      <c r="N62" t="inlineStr">
        <is>
          <t>Hornbach LU（LU）；Toolstation（GB）；Bricozor（FR）；Amazon.com.be（BE）（不採計：這頁沒有型號或刀徑原文）；Cdiscount（FR）；ManoMano.fr（FR）；Toolstation BE（BE）；eBay.fr（FR）；220.lv（LV）；Bauhaus（CZ）；Hornbach（DE）；Hornbach NL（NL）（不採計：這頁沒有型號或刀徑原文）；ManoMano.it（IT）（不採計：這頁沒有型號或刀徑原文）；OBI（DE）；OBI SK（SK）；Howe Tools（GB）；ManoMano ES（ES）；Toolstation NL（NL）（不採計：這頁刀徑原文前後矛盾）；Castorama（FR）（促銷價：頁面現價 477.88、劃線原價 799.43（「t: 0 étoiles sur 5 à partir de 0 évaluation du pro」），採劃線原價（2026-10-22 表單））</t>
        </is>
      </c>
      <c r="O62" t="inlineStr">
        <is>
          <t>一般</t>
        </is>
      </c>
    </row>
    <row r="63">
      <c r="A63" t="inlineStr">
        <is>
          <t>LS1019L</t>
        </is>
      </c>
      <c r="B63">
        <f>IMAGE("https://cdn.manomano.com/pim-media/images/medium/00b580ff6eff0d9f1f6a455949dfea3bed43265c.jpg")</f>
        <v/>
      </c>
      <c r="C63" t="inlineStr">
        <is>
          <t>OEM 品牌</t>
        </is>
      </c>
      <c r="D63" t="inlineStr">
        <is>
          <t>Makita</t>
        </is>
      </c>
      <c r="E63" t="inlineStr">
        <is>
          <t>1.Miter Base</t>
        </is>
      </c>
      <c r="F63" t="inlineStr">
        <is>
          <t>Dual</t>
        </is>
      </c>
      <c r="G63" t="inlineStr"/>
      <c r="H63" t="n">
        <v>260</v>
      </c>
      <c r="I63" t="inlineStr">
        <is>
          <t>Ø222~267mm</t>
        </is>
      </c>
      <c r="J63" t="n">
        <v>1510</v>
      </c>
      <c r="K63" t="n">
        <v>3200</v>
      </c>
      <c r="L63" t="inlineStr">
        <is>
          <t>https://www.manomano.fr/p/makita-ls1019l-scie-a-onglet-radiale-avec-laser-1510w-260-x-30mm-24014748</t>
        </is>
      </c>
      <c r="M63" s="2" t="n">
        <v>775</v>
      </c>
      <c r="N63" t="inlineStr">
        <is>
          <t>ManoMano.fr（FR）；Bricozor（FR）；Cdiscount（FR）；Toolstation BE（BE）；Skroutz（GR）；220.lv（LV）；K-Rauta（FI）；Karwei（NL）；ManoMano.it（IT）（不採計：這頁沒有型號或刀徑原文）；Howe Tools（GB）（促銷價：頁面現價 714.0、劃線原價 718.0（「More info... £714.00 inc VAT &amp; FREE delivery Exc. 」），採劃線原價（2026-10-22 表單））</t>
        </is>
      </c>
      <c r="O63" t="inlineStr">
        <is>
          <t>一般</t>
        </is>
      </c>
    </row>
    <row r="64">
      <c r="A64" t="inlineStr">
        <is>
          <t>LS1110F</t>
        </is>
      </c>
      <c r="B64">
        <f>IMAGE("https://bilder.obi.de/aae3fca3-b71c-4ad2-83f5-76174519e5a0/prZZD/image.jpeg")</f>
        <v/>
      </c>
      <c r="C64" t="inlineStr">
        <is>
          <t>OEM 品牌</t>
        </is>
      </c>
      <c r="D64" t="inlineStr">
        <is>
          <t>Makita</t>
        </is>
      </c>
      <c r="E64" t="inlineStr">
        <is>
          <t>1.Miter Base</t>
        </is>
      </c>
      <c r="F64" t="inlineStr">
        <is>
          <t>Single</t>
        </is>
      </c>
      <c r="G64" t="inlineStr"/>
      <c r="H64" t="n">
        <v>260</v>
      </c>
      <c r="I64" t="inlineStr">
        <is>
          <t>Ø222~267mm</t>
        </is>
      </c>
      <c r="J64" t="n">
        <v>1450</v>
      </c>
      <c r="K64" t="n">
        <v>4500</v>
      </c>
      <c r="L64" t="inlineStr">
        <is>
          <t>https://www.otto.de/p/makita-kapp-und-gehrungssaege-ls1110f-1-450-w-260-mm-4-500-min-1-kapp-und-gehrungssaege-fuer-praezise-schnitte-bis-310-mm-C2047429877/</t>
        </is>
      </c>
      <c r="M64" s="2" t="n">
        <v>289</v>
      </c>
      <c r="N64" t="inlineStr">
        <is>
          <t>OTTO（DE）；ManoMano.it（IT）；OBI（DE）（只能到店／電話訂）；toom（DE）（缺貨）；eBay.de（DE）（不採計：這頁沒有型號或刀徑原文）；Bauhaus.se（SE）；Bauhaus（CZ）；Ferramentas.pt（PT）（促銷價：頁面現價 339.41、劃線原價 619.92（「ica 260 mm 1450 W Makita LS1110F Special Price 339」），採劃線原價（2026-10-22 表單））；Howe Tools（GB）；PcComponentes（ES）（不採計：這頁沒有型號或刀徑原文）；B&amp;Q（GB）；Castorama（FR）；Screwfix（GB）；Screwfix.ie（IE）</t>
        </is>
      </c>
      <c r="O64" t="inlineStr">
        <is>
          <t>一般</t>
        </is>
      </c>
    </row>
    <row r="65">
      <c r="A65" t="inlineStr">
        <is>
          <t>KGS 18 LTX BL 254</t>
        </is>
      </c>
      <c r="B65">
        <f>IMAGE("https://cdn.manomano.com/pim-media/images/medium/4a6230c206e333cfdc58c9fedc80f5031abd663f.jpg")</f>
        <v/>
      </c>
      <c r="C65" t="inlineStr">
        <is>
          <t>OEM 品牌</t>
        </is>
      </c>
      <c r="D65" t="inlineStr">
        <is>
          <t>Metabo</t>
        </is>
      </c>
      <c r="E65" t="inlineStr">
        <is>
          <t>1.Miter Base</t>
        </is>
      </c>
      <c r="F65" t="inlineStr">
        <is>
          <t>Single</t>
        </is>
      </c>
      <c r="G65" t="inlineStr"/>
      <c r="H65" t="n">
        <v>254</v>
      </c>
      <c r="I65" t="inlineStr">
        <is>
          <t>Ø222~267mm</t>
        </is>
      </c>
      <c r="J65" t="inlineStr"/>
      <c r="K65" t="inlineStr">
        <is>
          <t>4000</t>
        </is>
      </c>
      <c r="L65" t="inlineStr">
        <is>
          <t>https://www.manomano.es/p/kgs-18-ltx-bl-254-tapaw-de-bateria-sin-bateria-sin-cargador-73844688</t>
        </is>
      </c>
      <c r="M65" s="2" t="n">
        <v>391.46</v>
      </c>
      <c r="N65" t="inlineStr">
        <is>
          <t>ManoMano ES（ES）；ManoMano.it（IT）；toom（DE）；Galaxus.be（BE）（不採計：這頁沒有型號或刀徑原文）；B&amp;Q（GB）；OBI.ch（CH）</t>
        </is>
      </c>
      <c r="O65" t="inlineStr">
        <is>
          <t>一般</t>
        </is>
      </c>
    </row>
    <row r="66">
      <c r="A66" t="inlineStr">
        <is>
          <t>KGS 254 M</t>
        </is>
      </c>
      <c r="B66">
        <f>IMAGE("https://cdn.manomano.com/pim-media/images/medium/02a7eb5ef57227cb9052ab92e928007d2d90ddba.jpg")</f>
        <v/>
      </c>
      <c r="C66" t="inlineStr">
        <is>
          <t>OEM 品牌</t>
        </is>
      </c>
      <c r="D66" t="inlineStr">
        <is>
          <t>Metabo</t>
        </is>
      </c>
      <c r="E66" t="inlineStr">
        <is>
          <t>2.Floor</t>
        </is>
      </c>
      <c r="F66" t="inlineStr">
        <is>
          <t>Single</t>
        </is>
      </c>
      <c r="G66" t="inlineStr"/>
      <c r="H66" t="n">
        <v>254</v>
      </c>
      <c r="I66" t="inlineStr">
        <is>
          <t>Ø222~267mm</t>
        </is>
      </c>
      <c r="J66" t="inlineStr"/>
      <c r="K66" t="n">
        <v>3200</v>
      </c>
      <c r="L66" t="inlineStr">
        <is>
          <t>https://www.cdiscount.com/bricolage/outillage/scie-a-onglets-radiale-metabo-kgs-254-m-1500-w/f-166010106-met4061792218192.html</t>
        </is>
      </c>
      <c r="M66" s="2" t="n">
        <v>265.68</v>
      </c>
      <c r="N66" t="inlineStr">
        <is>
          <t>Cdiscount（FR）；ManoMano.it（IT）；OBI（DE）；OBI AT（AT）；Hornbach AT（AT）；Hornbach（DE）；toom（DE）；Hornbach LU（LU）；hagebau.at（AT）（不採計：這頁沒有型號或刀徑原文）；Globus Baumarkt（DE）；Alternate（DE）（促銷價：頁面現價 259.9、劃線原價 496.0（「Watt) Metabo Abb. kann vom Original abweichen. Wic」），採劃線原價（2026-10-22 表單））；Kaufland.at（AT）；OBI.ch（CH）（促銷價：頁面現價 249.0、劃線原價 369.0（「egrierten Spänefangtrichter Alle Artikelinfos Du s」），採劃線原價（2026-10-22 表單））；Galaxus（CH）（不採計：這頁沒有型號或刀徑原文）；Kaufland.de（DE）；Saturn（DE）；Skroutz（GR）；Bauhaus（CZ）；Bygghemma（SE）（不採計：這頁沒有型號或刀徑原文）；Hornbach（CZ）；Hornbach NL（NL）；Karwei（NL）；Moyo（UA）；Netrauta.fi（FI）（不採計：這頁沒有型號或刀徑原文；促銷價：頁面現價 490.99、劃線原價 692.8（「tabo KGS 254 M Metabo-tuotteet Jiirisahat Tuotenum」），採劃線原價（2026-10-22 表單））；OBI（PL）；OBI SK（SK）；eMAG（RO）；Hornbach（RO）；Darty（FR）；ManoMano ES（ES）；Toolstation NL（NL）；Galaxus.be（BE）（不採計：這頁沒有型號或刀徑原文）；Galaxus.fr（FR）（不採計：這頁沒有型號或刀徑原文）；Castorama（FR）；MediaMarkt NL（NL）；Toolstation BE（BE）；Brico Dépôt ES（ES）；Toolbrothers.nl（NL）</t>
        </is>
      </c>
      <c r="O66" t="inlineStr">
        <is>
          <t>一般</t>
        </is>
      </c>
    </row>
    <row r="67">
      <c r="A67" t="inlineStr">
        <is>
          <t>KGS 254 M PCL</t>
        </is>
      </c>
      <c r="B67">
        <f>IMAGE("https://bauhaus.bg/img/173461/640/640/60758419%20(1).jpg")</f>
        <v/>
      </c>
      <c r="C67" t="inlineStr">
        <is>
          <t>OEM 品牌</t>
        </is>
      </c>
      <c r="D67" t="inlineStr">
        <is>
          <t>Metabo</t>
        </is>
      </c>
      <c r="E67" t="inlineStr">
        <is>
          <t>1.Miter Base</t>
        </is>
      </c>
      <c r="F67" t="inlineStr">
        <is>
          <t>Single</t>
        </is>
      </c>
      <c r="G67" t="inlineStr"/>
      <c r="H67" t="n">
        <v>254</v>
      </c>
      <c r="I67" t="inlineStr">
        <is>
          <t>Ø222~267mm</t>
        </is>
      </c>
      <c r="J67" t="n">
        <v>1800</v>
      </c>
      <c r="K67" t="inlineStr">
        <is>
          <t>0-4500</t>
        </is>
      </c>
      <c r="L67" t="inlineStr">
        <is>
          <t>https://bauhaus.bg/potapyasht-gerung-cirkulyar-s-izteglyane-metabo-kgs-254-m-pcl/p/136939?search_id=34658882</t>
        </is>
      </c>
      <c r="M67" s="2" t="n">
        <v>435</v>
      </c>
      <c r="N67" t="inlineStr">
        <is>
          <t>Bauhaus BG（BG）</t>
        </is>
      </c>
      <c r="O67" t="inlineStr">
        <is>
          <t>一般</t>
        </is>
      </c>
    </row>
    <row r="68">
      <c r="A68" t="inlineStr">
        <is>
          <t>KGSV 254 MC</t>
        </is>
      </c>
      <c r="B68">
        <f>IMAGE("https://cdn.manomano.com/pim-media/images/medium/79a6efda12dc88dbb4a654463b0941d6e85441b1.jpg")</f>
        <v/>
      </c>
      <c r="C68" t="inlineStr">
        <is>
          <t>OEM 品牌</t>
        </is>
      </c>
      <c r="D68" t="inlineStr">
        <is>
          <t>Metabo</t>
        </is>
      </c>
      <c r="E68" t="inlineStr">
        <is>
          <t>1.Miter Base</t>
        </is>
      </c>
      <c r="F68" t="inlineStr">
        <is>
          <t>Dual</t>
        </is>
      </c>
      <c r="G68" t="inlineStr"/>
      <c r="H68" t="n">
        <v>254</v>
      </c>
      <c r="I68" t="inlineStr">
        <is>
          <t>Ø222~267mm</t>
        </is>
      </c>
      <c r="J68" t="n">
        <v>1450</v>
      </c>
      <c r="K68" t="inlineStr">
        <is>
          <t>1900-4500</t>
        </is>
      </c>
      <c r="L68" t="inlineStr">
        <is>
          <t>https://www.kaufland.de/product/540283893/</t>
        </is>
      </c>
      <c r="M68" s="2" t="n">
        <v>322.18</v>
      </c>
      <c r="N68" t="inlineStr">
        <is>
          <t>Kaufland.de（DE）；ManoMano.it（IT）；toom（DE）；Galaxus.it（IT）（不採計：這頁沒有型號或刀徑原文）；Kaufland.at（AT）；Cdiscount（FR）；Galaxus.be（BE）（不採計：這頁沒有型號或刀徑原文）；Galaxus.fr（FR）（不採計：這頁沒有型號或刀徑原文）；ManoMano ES（ES）</t>
        </is>
      </c>
      <c r="O68" t="inlineStr">
        <is>
          <t>一般</t>
        </is>
      </c>
    </row>
    <row r="69">
      <c r="A69" t="inlineStr">
        <is>
          <t>M18 FMS254</t>
        </is>
      </c>
      <c r="B69">
        <f>IMAGE("https://media.screwfix.com/is/image/ae235/370XH_P")</f>
        <v/>
      </c>
      <c r="C69" t="inlineStr">
        <is>
          <t>OEM 品牌</t>
        </is>
      </c>
      <c r="D69" t="inlineStr">
        <is>
          <t>Milwaukee</t>
        </is>
      </c>
      <c r="E69" t="inlineStr"/>
      <c r="F69" t="inlineStr">
        <is>
          <t>Dual</t>
        </is>
      </c>
      <c r="G69" t="inlineStr"/>
      <c r="H69" t="n">
        <v>254</v>
      </c>
      <c r="I69" t="inlineStr">
        <is>
          <t>Ø222~267mm</t>
        </is>
      </c>
      <c r="J69" t="inlineStr"/>
      <c r="K69" t="n">
        <v>4000</v>
      </c>
      <c r="L69" t="inlineStr">
        <is>
          <t>https://www.screwfix.com/p/milwaukee-m18fms254-0-254mm-18v-li-ion-redlithium-high-output-brushless-cordless-double-bevel-sliding-mitre-saw-bare/370xh</t>
        </is>
      </c>
      <c r="M69" s="2" t="n">
        <v>675.46</v>
      </c>
      <c r="N69" t="inlineStr">
        <is>
          <t>Screwfix（GB）；Tooled-Up（GB）；Toolstation NL（NL）；Screwfix.ie（IE）；Toolstation BE（BE）</t>
        </is>
      </c>
      <c r="O69" t="inlineStr">
        <is>
          <t>一般</t>
        </is>
      </c>
    </row>
    <row r="70">
      <c r="A70" t="inlineStr">
        <is>
          <t>POWX075740DB</t>
        </is>
      </c>
      <c r="B70">
        <f>IMAGE("https://cdn.manomano.com/pim-media/images/medium/dc842c1f181e6a7e1ce1fcdf5d61b0b9afe56f48.jpg")</f>
        <v/>
      </c>
      <c r="C70" t="inlineStr">
        <is>
          <t>零售品牌</t>
        </is>
      </c>
      <c r="D70" t="inlineStr">
        <is>
          <t>Powerplus</t>
        </is>
      </c>
      <c r="E70" t="inlineStr">
        <is>
          <t>1.Miter Base</t>
        </is>
      </c>
      <c r="F70" t="inlineStr">
        <is>
          <t>Dual</t>
        </is>
      </c>
      <c r="G70" t="inlineStr"/>
      <c r="H70" t="n">
        <v>254</v>
      </c>
      <c r="I70" t="inlineStr">
        <is>
          <t>Ø222~267mm</t>
        </is>
      </c>
      <c r="J70" t="n">
        <v>2200</v>
      </c>
      <c r="K70" t="n">
        <v>5000</v>
      </c>
      <c r="L70" t="inlineStr">
        <is>
          <t>https://www.manomano.es/p/powerplus-powx075740db-ingletadora-telescopica-con-bisel-doble-2200w-254mm-42590999</t>
        </is>
      </c>
      <c r="M70" s="2" t="n">
        <v>276.47</v>
      </c>
      <c r="N70" t="inlineStr">
        <is>
          <t>ManoMano ES（ES）</t>
        </is>
      </c>
      <c r="O70" t="inlineStr">
        <is>
          <t>一般</t>
        </is>
      </c>
    </row>
    <row r="71">
      <c r="A71" t="inlineStr">
        <is>
          <t>32891</t>
        </is>
      </c>
      <c r="B71">
        <f>IMAGE("https://mlo9n1oj0dxx.i.optimole.com/cb:mL8X.5621c/w:600/h:600/q:100/f:best/https://toolsandhardware.eu/wp-content/uploads/2025/05/products-32891_f_400x400-1-1-1-2.jpg")</f>
        <v/>
      </c>
      <c r="C71" t="inlineStr">
        <is>
          <t>零售品牌</t>
        </is>
      </c>
      <c r="D71" t="inlineStr">
        <is>
          <t>Probuilder</t>
        </is>
      </c>
      <c r="E71" t="inlineStr">
        <is>
          <t>1.Miter Base</t>
        </is>
      </c>
      <c r="F71" t="inlineStr"/>
      <c r="G71" t="inlineStr"/>
      <c r="H71" t="n">
        <v>255</v>
      </c>
      <c r="I71" t="inlineStr">
        <is>
          <t>Ø222~267mm</t>
        </is>
      </c>
      <c r="J71" t="n">
        <v>2000</v>
      </c>
      <c r="K71" t="n">
        <v>4500</v>
      </c>
      <c r="L71" t="inlineStr">
        <is>
          <t>https://toolsandhardware.eu/product/probuilder-mitre-saw-255mm-2000w-32891/</t>
        </is>
      </c>
      <c r="M71" s="2" t="n">
        <v>252.99</v>
      </c>
      <c r="N71" t="inlineStr">
        <is>
          <t>Tools &amp; Hardware（MT）（可預訂）；Ixtri.mt（MT）（跨境出貨（從 Malta 出貨））</t>
        </is>
      </c>
      <c r="O71" t="inlineStr">
        <is>
          <t>一般</t>
        </is>
      </c>
    </row>
    <row r="72">
      <c r="A72" t="inlineStr">
        <is>
          <t>PGS256</t>
        </is>
      </c>
      <c r="B72">
        <f>IMAGE("https://toolbrothers.de/cdn/shop/files/149065-Procraft-Kappsaege-mit-Schlitten-PGS256_2_78859c19-5ae7-4bb7-b3cc-4a2aa8b1cda7.jpg?v=1788801403&amp;width=1200")</f>
        <v/>
      </c>
      <c r="C72" t="inlineStr">
        <is>
          <t>零售品牌</t>
        </is>
      </c>
      <c r="D72" t="inlineStr">
        <is>
          <t>Procraft</t>
        </is>
      </c>
      <c r="E72" t="inlineStr">
        <is>
          <t>1.Miter Base</t>
        </is>
      </c>
      <c r="F72" t="inlineStr"/>
      <c r="G72" t="inlineStr"/>
      <c r="H72" t="n">
        <v>255</v>
      </c>
      <c r="I72" t="inlineStr">
        <is>
          <t>Ø222~267mm</t>
        </is>
      </c>
      <c r="J72" t="n">
        <v>2000</v>
      </c>
      <c r="K72" t="inlineStr">
        <is>
          <t>4500</t>
        </is>
      </c>
      <c r="L72" t="inlineStr">
        <is>
          <t>https://www.galaxus.ch/de/s4/product/procraft-pgs256-kappsaege-2000-watt-255-mm-mit-schlitten-saegeblatt-kappsaege-gehrungssaege-65567887</t>
        </is>
      </c>
      <c r="M72" s="2" t="n">
        <v>196.61</v>
      </c>
      <c r="N72" t="inlineStr">
        <is>
          <t>Galaxus（CH）；Toolbrothers（DE）（促銷價：頁面現價 199.99、劃線原價 251.91（「en + Sägeblatt SKU: 150652  EAN: 6973934252965  Zu」），採劃線原價（2026-10-22 表單））；ManoMano.it（IT）；ManoMano ES（ES）</t>
        </is>
      </c>
      <c r="O72" t="inlineStr">
        <is>
          <t>一般</t>
        </is>
      </c>
    </row>
    <row r="73">
      <c r="A73" t="inlineStr">
        <is>
          <t>RTM6250</t>
        </is>
      </c>
      <c r="B73">
        <f>IMAGE("https://image03.idefix.com/resize/624/0/product/12527014/rtm6250-radyal-gonye-testere-makinesi-2000-w-305-mm-688b068a00232.jpg")</f>
        <v/>
      </c>
      <c r="C73" t="inlineStr">
        <is>
          <t>OEM 品牌</t>
        </is>
      </c>
      <c r="D73" t="inlineStr">
        <is>
          <t>RTRMAX</t>
        </is>
      </c>
      <c r="E73" t="inlineStr">
        <is>
          <t>1.Miter Base</t>
        </is>
      </c>
      <c r="F73" t="inlineStr">
        <is>
          <t>Single</t>
        </is>
      </c>
      <c r="G73" t="inlineStr"/>
      <c r="H73" t="n">
        <v>255</v>
      </c>
      <c r="I73" t="inlineStr">
        <is>
          <t>Ø222~267mm</t>
        </is>
      </c>
      <c r="J73" t="n">
        <v>2000</v>
      </c>
      <c r="K73" t="n">
        <v>4500</v>
      </c>
      <c r="L73" t="inlineStr">
        <is>
          <t>https://www.idefix.com/rtrmax-rtm6250-radyal-gonye-testere-makinesi-2000-w-305-mm-p-12527014</t>
        </is>
      </c>
      <c r="M73" s="2" t="n">
        <v>240.78</v>
      </c>
      <c r="N73" t="inlineStr">
        <is>
          <t>idefix（TR）</t>
        </is>
      </c>
      <c r="O73" t="inlineStr">
        <is>
          <t>一般</t>
        </is>
      </c>
    </row>
    <row r="74">
      <c r="A74" t="inlineStr">
        <is>
          <t>EMS254L</t>
        </is>
      </c>
      <c r="B74">
        <f>IMAGE("https://static.toom.de/produkte/bilder/1490810/1490810_01.png?width=1200&amp;height=1200&amp;format=jpg")</f>
        <v/>
      </c>
      <c r="C74" t="inlineStr">
        <is>
          <t>OEM 品牌</t>
        </is>
      </c>
      <c r="D74" t="inlineStr">
        <is>
          <t>Ryobi</t>
        </is>
      </c>
      <c r="E74" t="inlineStr">
        <is>
          <t>1.Miter Base</t>
        </is>
      </c>
      <c r="F74" t="inlineStr">
        <is>
          <t>Dual</t>
        </is>
      </c>
      <c r="G74" t="inlineStr"/>
      <c r="H74" t="n">
        <v>254</v>
      </c>
      <c r="I74" t="inlineStr">
        <is>
          <t>Ø222~267mm</t>
        </is>
      </c>
      <c r="J74" t="n">
        <v>2000</v>
      </c>
      <c r="K74" t="n">
        <v>4500</v>
      </c>
      <c r="L74" t="inlineStr">
        <is>
          <t>https://www.bauhaus.fi/liukujiirisaha-ryobi-ems-254-l</t>
        </is>
      </c>
      <c r="M74" s="2" t="n">
        <v>259</v>
      </c>
      <c r="N74" t="inlineStr">
        <is>
          <t>Bauhaus.fi（FI）；toom（DE）（可預訂）；eBay.de（DE）（不採計：這頁沒有型號或刀徑原文）；eBay.at（AT）；Allo.ua（UA）；Clas Ohlson SE（SE）（不採計：這頁沒有型號或刀徑原文）；K-Rauta（FI）；ManoMano.it（IT）；Moyo（UA）；Castorama（FR）（促銷價：頁面現價 318.73、劃線原價 340.5（「t: 0 étoiles sur 5 à partir de 0 évaluation du pro」），採劃線原價（2026-10-22 表單））</t>
        </is>
      </c>
      <c r="O74" t="inlineStr">
        <is>
          <t>一般</t>
        </is>
      </c>
    </row>
    <row r="75">
      <c r="A75" t="inlineStr">
        <is>
          <t>RMS18254X-0</t>
        </is>
      </c>
      <c r="B75">
        <f>IMAGE("https://static.ryobitools.eu/remote.axd/ryobi-media-images.s3.amazonaws.com/hi/RMS18254X-0--Hero_1.jpg")</f>
        <v/>
      </c>
      <c r="C75" t="inlineStr">
        <is>
          <t>OEM 品牌</t>
        </is>
      </c>
      <c r="D75" t="inlineStr">
        <is>
          <t>Ryobi</t>
        </is>
      </c>
      <c r="E75" t="inlineStr">
        <is>
          <t>1.Miter Base</t>
        </is>
      </c>
      <c r="F75" t="inlineStr"/>
      <c r="G75" t="inlineStr"/>
      <c r="H75" t="n">
        <v>254</v>
      </c>
      <c r="I75" t="inlineStr">
        <is>
          <t>Ø222~267mm</t>
        </is>
      </c>
      <c r="J75" t="inlineStr"/>
      <c r="K75" t="n">
        <v>4100</v>
      </c>
      <c r="L75" t="inlineStr">
        <is>
          <t>https://www.jula.pl/catalog/narzedzia-i-maszyny/elektronarzedzia-i-maszyny/pilarki-i-wyrzynarki-stolowe/akumulatorowe-pilarki-ukosowe/pilarka-ukosowa-027221/</t>
        </is>
      </c>
      <c r="M75" s="2" t="n">
        <v>411.67</v>
      </c>
      <c r="N75" t="inlineStr">
        <is>
          <t>Jula（PL）；Jula NO（NO）；Bauhaus.se（SE）；Allo.ua（UA）；Clas Ohlson SE（SE）；Moyo（UA）（缺貨）；Jula（SE）</t>
        </is>
      </c>
      <c r="O75" t="inlineStr">
        <is>
          <t>一般</t>
        </is>
      </c>
    </row>
    <row r="76">
      <c r="A76" t="inlineStr">
        <is>
          <t>HM 110 MP</t>
        </is>
      </c>
      <c r="B76">
        <f>IMAGE("https://www.bauhaus.cz/img/600/744/resize/catalog/product/1/3/138235_p_img.webp")</f>
        <v/>
      </c>
      <c r="C76" t="inlineStr">
        <is>
          <t>OEM 品牌</t>
        </is>
      </c>
      <c r="D76" t="inlineStr">
        <is>
          <t>Scheppach</t>
        </is>
      </c>
      <c r="E76" t="inlineStr">
        <is>
          <t>1.Miter Base</t>
        </is>
      </c>
      <c r="F76" t="inlineStr">
        <is>
          <t>Dual</t>
        </is>
      </c>
      <c r="G76" t="inlineStr"/>
      <c r="H76" t="n">
        <v>254</v>
      </c>
      <c r="I76" t="inlineStr">
        <is>
          <t>Ø222~267mm</t>
        </is>
      </c>
      <c r="J76" t="n">
        <v>2000</v>
      </c>
      <c r="K76" t="n">
        <v>4500</v>
      </c>
      <c r="L76" t="inlineStr">
        <is>
          <t>https://www.bauhaus.cz/scheppach-pokosova-a-kapovaci-pila-hm-110-mp-27888889</t>
        </is>
      </c>
      <c r="M76" s="2" t="n">
        <v>246.27</v>
      </c>
      <c r="N76" t="inlineStr">
        <is>
          <t>Bauhaus（CZ）；toom（DE）（缺貨）；Galaxus（CH）（不採計：這頁沒有型號或刀徑原文）；OBI（CZ）；OBI SK（SK）；Galaxus.be（BE）（不採計：這頁沒有型號或刀徑原文）</t>
        </is>
      </c>
      <c r="O76" t="inlineStr">
        <is>
          <t>一般</t>
        </is>
      </c>
    </row>
    <row r="77">
      <c r="A77" t="inlineStr">
        <is>
          <t>HM2254</t>
        </is>
      </c>
      <c r="B77">
        <f>IMAGE("https://www.cdiscount.com/pdt2/8/9/3/1/700x700/sch4046664288893/rw/scie-a-onglet-radiale-scheppach-hm2254-255-mm.jpg")</f>
        <v/>
      </c>
      <c r="C77" t="inlineStr">
        <is>
          <t>OEM 品牌</t>
        </is>
      </c>
      <c r="D77" t="inlineStr">
        <is>
          <t>Scheppach</t>
        </is>
      </c>
      <c r="E77" t="inlineStr"/>
      <c r="F77" t="inlineStr">
        <is>
          <t>Single</t>
        </is>
      </c>
      <c r="G77" t="inlineStr"/>
      <c r="H77" t="n">
        <v>255</v>
      </c>
      <c r="I77" t="inlineStr">
        <is>
          <t>Ø222~267mm</t>
        </is>
      </c>
      <c r="J77" t="n">
        <v>2400</v>
      </c>
      <c r="K77" t="n">
        <v>7000</v>
      </c>
      <c r="L77" t="inlineStr">
        <is>
          <t>https://www.cdiscount.com/bricolage/outillage/scie-a-onglet-radiale-scheppach-hm2254-255-mm/f-166010106-sch4046664288893.html</t>
        </is>
      </c>
      <c r="M77" s="2" t="n">
        <v>179.99</v>
      </c>
      <c r="N77" t="inlineStr">
        <is>
          <t>Cdiscount（FR）</t>
        </is>
      </c>
      <c r="O77" t="inlineStr">
        <is>
          <t>一般</t>
        </is>
      </c>
    </row>
    <row r="78">
      <c r="A78" t="inlineStr">
        <is>
          <t>HM254</t>
        </is>
      </c>
      <c r="B78">
        <f>IMAGE("https://bilder.obi.de/698b3629-3b49-4db8-b68a-0ffe57a77576/prZZD/image.jpeg")</f>
        <v/>
      </c>
      <c r="C78" t="inlineStr">
        <is>
          <t>OEM 品牌</t>
        </is>
      </c>
      <c r="D78" t="inlineStr">
        <is>
          <t>Scheppach</t>
        </is>
      </c>
      <c r="E78" t="inlineStr">
        <is>
          <t>1.Miter Base</t>
        </is>
      </c>
      <c r="F78" t="inlineStr">
        <is>
          <t>Single</t>
        </is>
      </c>
      <c r="G78" t="inlineStr"/>
      <c r="H78" t="n">
        <v>255</v>
      </c>
      <c r="I78" t="inlineStr">
        <is>
          <t>Ø222~267mm</t>
        </is>
      </c>
      <c r="J78" t="n">
        <v>2000</v>
      </c>
      <c r="K78" t="n">
        <v>4500</v>
      </c>
      <c r="L78" t="inlineStr">
        <is>
          <t>https://www.obi.de/p/5305784/scheppach-kapp-zug-und-gehrungssaege-hm254</t>
        </is>
      </c>
      <c r="M78" s="2" t="n">
        <v>159</v>
      </c>
      <c r="N78" t="inlineStr">
        <is>
          <t>OBI（DE）（只能到店／電話訂）；ManoMano.it（IT）；OBI AT（AT）（只能到店／電話訂）；Scheppach webshop (shop.scheppach.com)（DE）；OBI.ch（CH）；eBay.de（DE）；Galaxus（CH）（不採計：這頁沒有型號或刀徑原文）；eBay.at（AT）；Bauhaus.se（SE）；Bauhaus（CZ）；K-Rauta（FI）；Netrauta.fi（FI）（促銷價：頁面現價 249.99、劃線原價 305.9（「arvostelu Scheppach-tuotteet Jiirisahat Tuotenumer」），採劃線原價（2026-10-22 表單））；OBI（CZ）；OBI SK（SK）；Skroutz（GR）（不採計：這頁刀徑原文前後矛盾）；eMAG.bg（BG）；eMAG.hu（HU）；Hornbach（RO）；Cdiscount（FR）；PcComponentes（ES）（不採計：這頁沒有型號或刀徑原文；促銷價：頁面現價 235.5、劃線原價 299.99（「oja incluida con 60 dientes Voltaje 220-240 V Peso」），採劃線原價（2026-10-22 表單））；B&amp;Q（GB）；Galaxus.be（BE）（不採計：這頁沒有型號或刀徑原文）</t>
        </is>
      </c>
      <c r="O78" t="inlineStr">
        <is>
          <t>一般</t>
        </is>
      </c>
    </row>
    <row r="79">
      <c r="A79" t="inlineStr">
        <is>
          <t>HM254SPX</t>
        </is>
      </c>
      <c r="B79">
        <f>IMAGE("https://www.cdiscount.com/pdt2/2/8/2/1/700x700/sch4046664134282/rw/scie-a-onglet-radiale-scheppach-254-mm-hm254spx.jpg")</f>
        <v/>
      </c>
      <c r="C79" t="inlineStr">
        <is>
          <t>OEM 品牌</t>
        </is>
      </c>
      <c r="D79" t="inlineStr">
        <is>
          <t>Scheppach</t>
        </is>
      </c>
      <c r="E79" t="inlineStr">
        <is>
          <t>1.Miter Base</t>
        </is>
      </c>
      <c r="F79" t="inlineStr">
        <is>
          <t>Single</t>
        </is>
      </c>
      <c r="G79" t="inlineStr"/>
      <c r="H79" t="n">
        <v>254</v>
      </c>
      <c r="I79" t="inlineStr">
        <is>
          <t>Ø222~267mm</t>
        </is>
      </c>
      <c r="J79" t="n">
        <v>2200</v>
      </c>
      <c r="K79" t="n">
        <v>4800</v>
      </c>
      <c r="L79" t="inlineStr">
        <is>
          <t>https://www.cdiscount.com/bricolage/outillage/scie-a-onglet-radiale-scheppach-254-mm-hm254spx/f-166010106-sch4046664134282.html</t>
        </is>
      </c>
      <c r="M79" s="2" t="n">
        <v>153.88</v>
      </c>
      <c r="N79" t="inlineStr">
        <is>
          <t>Cdiscount（FR）；Globus Baumarkt（DE）；Scheppach webshop (shop.scheppach.com)（DE）；Leroy Merlin（RO）；idefix（TR）；Castorama（FR）</t>
        </is>
      </c>
      <c r="O79" t="inlineStr">
        <is>
          <t>一般</t>
        </is>
      </c>
    </row>
    <row r="80">
      <c r="A80" t="inlineStr">
        <is>
          <t>MST 254</t>
        </is>
      </c>
      <c r="B80">
        <f>IMAGE("https://static.toom.de/produkte/bilder/1501716/1501716_001.png?width=1200&amp;height=1200&amp;format=jpg")</f>
        <v/>
      </c>
      <c r="C80" t="inlineStr">
        <is>
          <t>OEM 品牌</t>
        </is>
      </c>
      <c r="D80" t="inlineStr">
        <is>
          <t>Scheppach</t>
        </is>
      </c>
      <c r="E80" t="inlineStr">
        <is>
          <t>1.Miter Base</t>
        </is>
      </c>
      <c r="F80" t="inlineStr"/>
      <c r="G80" t="inlineStr"/>
      <c r="H80" t="n">
        <v>255</v>
      </c>
      <c r="I80" t="inlineStr">
        <is>
          <t>Ø222~267mm</t>
        </is>
      </c>
      <c r="J80" t="n">
        <v>2000</v>
      </c>
      <c r="K80" t="inlineStr"/>
      <c r="L80" t="inlineStr">
        <is>
          <t>https://toom.de/p/kapp-und-zugsaege-mst-254-black-edition-2000-w-mit-2-saegeblaettern/1501716</t>
        </is>
      </c>
      <c r="M80" s="2" t="n">
        <v>154.99</v>
      </c>
      <c r="N80" t="inlineStr">
        <is>
          <t>toom（DE）</t>
        </is>
      </c>
      <c r="O80" t="inlineStr">
        <is>
          <t>一般</t>
        </is>
      </c>
    </row>
    <row r="81">
      <c r="A81" t="inlineStr">
        <is>
          <t>SAR254-90ATG</t>
        </is>
      </c>
      <c r="B81">
        <f>IMAGE("https://cdn.manomano.com/pim-media/images/medium/b7dacfd798bafe867a5a5e833ab3d71612ba3e0e.jpg")</f>
        <v/>
      </c>
      <c r="C81" t="inlineStr">
        <is>
          <t>OEM 品牌</t>
        </is>
      </c>
      <c r="D81" t="inlineStr">
        <is>
          <t>Scheppach</t>
        </is>
      </c>
      <c r="E81" t="inlineStr">
        <is>
          <t>1.Miter Base</t>
        </is>
      </c>
      <c r="F81" t="inlineStr">
        <is>
          <t>Dual</t>
        </is>
      </c>
      <c r="G81" t="inlineStr"/>
      <c r="H81" t="n">
        <v>254</v>
      </c>
      <c r="I81" t="inlineStr">
        <is>
          <t>Ø222~267mm</t>
        </is>
      </c>
      <c r="J81" t="n">
        <v>2200</v>
      </c>
      <c r="K81" t="inlineStr"/>
      <c r="L81" t="inlineStr">
        <is>
          <t>https://www.manomano.es/p/sierra-de-mesa-scheppach-ts25l-1800w-250-mm-58012149953-58476416</t>
        </is>
      </c>
      <c r="M81" s="2" t="n">
        <v>152.56</v>
      </c>
      <c r="N81" t="inlineStr">
        <is>
          <t>ManoMano ES（ES）；ManoMano.it（IT）；Castorama（FR）（促銷價：頁面現價 196.9、劃線原價 319.71（「t: 0 étoiles sur 5 à partir de 0 évaluation du pro」），採劃線原價（2026-10-22 表單））；Cdiscount（FR）</t>
        </is>
      </c>
      <c r="O81" t="inlineStr">
        <is>
          <t>一般</t>
        </is>
      </c>
    </row>
    <row r="82">
      <c r="A82" t="inlineStr">
        <is>
          <t>SMS255</t>
        </is>
      </c>
      <c r="B82">
        <f>IMAGE("https://www.tooled-up.com/artwork/prodzoom/sealey_SMS255.V3_DFC1176462.jpg")</f>
        <v/>
      </c>
      <c r="C82" t="inlineStr">
        <is>
          <t>零售品牌</t>
        </is>
      </c>
      <c r="D82" t="inlineStr">
        <is>
          <t>Sealey</t>
        </is>
      </c>
      <c r="E82" t="inlineStr">
        <is>
          <t>1.Miter Base</t>
        </is>
      </c>
      <c r="F82" t="inlineStr">
        <is>
          <t>Dual</t>
        </is>
      </c>
      <c r="G82" t="inlineStr"/>
      <c r="H82" t="n">
        <v>255</v>
      </c>
      <c r="I82" t="inlineStr">
        <is>
          <t>Ø222~267mm</t>
        </is>
      </c>
      <c r="J82" t="n">
        <v>2000</v>
      </c>
      <c r="K82" t="n">
        <v>5000</v>
      </c>
      <c r="L82" t="inlineStr">
        <is>
          <t>https://www.tooled-up.com/sealey-sms255-double-sliding-compound-mitre-saw-250mm/prod/229248/</t>
        </is>
      </c>
      <c r="M82" s="2" t="n">
        <v>180.07</v>
      </c>
      <c r="N82" t="inlineStr">
        <is>
          <t>Tooled-Up（GB）；B&amp;Q（GB）</t>
        </is>
      </c>
      <c r="O82" t="inlineStr">
        <is>
          <t>一般</t>
        </is>
      </c>
    </row>
    <row r="83">
      <c r="A83" t="inlineStr">
        <is>
          <t>1320AA</t>
        </is>
      </c>
      <c r="B83">
        <f>IMAGE("https://static.gamma.nl/dam/421869/123")</f>
        <v/>
      </c>
      <c r="C83" t="inlineStr">
        <is>
          <t>OEM 品牌</t>
        </is>
      </c>
      <c r="D83" t="inlineStr">
        <is>
          <t>Skil</t>
        </is>
      </c>
      <c r="E83" t="inlineStr">
        <is>
          <t>1.Miter Base</t>
        </is>
      </c>
      <c r="F83" t="inlineStr">
        <is>
          <t>Dual</t>
        </is>
      </c>
      <c r="G83" t="inlineStr"/>
      <c r="H83" t="n">
        <v>254</v>
      </c>
      <c r="I83" t="inlineStr">
        <is>
          <t>Ø222~267mm</t>
        </is>
      </c>
      <c r="J83" t="n">
        <v>2000</v>
      </c>
      <c r="K83" t="n">
        <v>5000</v>
      </c>
      <c r="L83" t="inlineStr">
        <is>
          <t>https://www.karwei.nl/assortiment/skil-afkortzaag-verstekzaag-254mm-met-trekfunctie-laser-en-dual-bevel-functie-1320aa-2000w-snelklem/p/B166006</t>
        </is>
      </c>
      <c r="M83" s="2" t="n">
        <v>259</v>
      </c>
      <c r="N83" t="inlineStr">
        <is>
          <t>Karwei（NL）</t>
        </is>
      </c>
      <c r="O83" t="inlineStr">
        <is>
          <t>一般</t>
        </is>
      </c>
    </row>
    <row r="84">
      <c r="A84" t="inlineStr">
        <is>
          <t>1321AA</t>
        </is>
      </c>
      <c r="B84">
        <f>IMAGE("https://static.gamma.nl/dam/644398/123")</f>
        <v/>
      </c>
      <c r="C84" t="inlineStr">
        <is>
          <t>OEM 品牌</t>
        </is>
      </c>
      <c r="D84" t="inlineStr">
        <is>
          <t>Skil</t>
        </is>
      </c>
      <c r="E84" t="inlineStr">
        <is>
          <t>1.Miter Base</t>
        </is>
      </c>
      <c r="F84" t="inlineStr">
        <is>
          <t>Dual</t>
        </is>
      </c>
      <c r="G84" t="inlineStr"/>
      <c r="H84" t="n">
        <v>254</v>
      </c>
      <c r="I84" t="inlineStr">
        <is>
          <t>Ø222~267mm</t>
        </is>
      </c>
      <c r="J84" t="n">
        <v>2000</v>
      </c>
      <c r="K84" t="n">
        <v>5000</v>
      </c>
      <c r="L84" t="inlineStr">
        <is>
          <t>https://www.karwei.nl/assortiment/skil-afkortzaag-verstekzaag-1321aa-dubbele-verstekfunctie/p/B286463</t>
        </is>
      </c>
      <c r="M84" s="2" t="n">
        <v>259</v>
      </c>
      <c r="N84" t="inlineStr">
        <is>
          <t>Karwei（NL）；Tools &amp; Hardware（MT）（可預訂）；Ixtri.mt（MT）（跨境出貨（從 Malta 出貨））；Bauhaus.se（SE）（缺貨）</t>
        </is>
      </c>
      <c r="O84" t="inlineStr">
        <is>
          <t>一般</t>
        </is>
      </c>
    </row>
    <row r="85">
      <c r="A85" t="inlineStr">
        <is>
          <t>FME720-QS</t>
        </is>
      </c>
      <c r="B85">
        <f>IMAGE("https://media.ferramentas.pt/catalog/product/s/e/serra-de-esquadria-255mm-2000w-stanley-fme720-qs_2.jpg?width=265&amp;height=265&amp;store=default&amp;image-type=image")</f>
        <v/>
      </c>
      <c r="C85" t="inlineStr">
        <is>
          <t>OEM 品牌</t>
        </is>
      </c>
      <c r="D85" t="inlineStr">
        <is>
          <t>Stanley</t>
        </is>
      </c>
      <c r="E85" t="inlineStr">
        <is>
          <t>1.Miter Base</t>
        </is>
      </c>
      <c r="F85" t="inlineStr">
        <is>
          <t>Dual</t>
        </is>
      </c>
      <c r="G85" t="inlineStr"/>
      <c r="H85" t="n">
        <v>254</v>
      </c>
      <c r="I85" t="inlineStr">
        <is>
          <t>Ø222~267mm</t>
        </is>
      </c>
      <c r="J85" t="n">
        <v>2000</v>
      </c>
      <c r="K85" t="n">
        <v>4800</v>
      </c>
      <c r="L85" t="inlineStr">
        <is>
          <t>https://www.obi.de/p/6646855/stanley-fatmax-paneelsaege-2-000-w-fme720-254-mm</t>
        </is>
      </c>
      <c r="M85" s="2" t="n">
        <v>349.99</v>
      </c>
      <c r="N85" t="inlineStr">
        <is>
          <t>OBI（DE）；OBI AT（AT）；ManoMano.it（IT）；EZ-Tools GmbH（DE）；ManoMano.de（DE）；Ferramentas.pt（PT）（促銷價：頁面現價 329.85、劃線原價 451.41（「ia 255mm 2000W Stanley FME720-QS Special Price 329」），採劃線原價（2026-10-22 表單））；ManoMano ES（ES）；Praxis（NL）（不採計：這頁沒有型號或刀徑原文）；Castorama（FR）</t>
        </is>
      </c>
      <c r="O85" t="inlineStr">
        <is>
          <t>一般</t>
        </is>
      </c>
    </row>
    <row r="86">
      <c r="A86" t="inlineStr">
        <is>
          <t>SM1800-QS</t>
        </is>
      </c>
      <c r="B86">
        <f>IMAGE("https://www.cdiscount.com/pdt2/6/6/5/1/700x700/aaapn83665/rw/scie-a-onglet-radiale-filaire-1800w-stanley-fa.jpg")</f>
        <v/>
      </c>
      <c r="C86" t="inlineStr">
        <is>
          <t>OEM 品牌</t>
        </is>
      </c>
      <c r="D86" t="inlineStr">
        <is>
          <t>Stanley</t>
        </is>
      </c>
      <c r="E86" t="inlineStr">
        <is>
          <t>1.Miter Base</t>
        </is>
      </c>
      <c r="F86" t="inlineStr"/>
      <c r="G86" t="inlineStr"/>
      <c r="H86" t="n">
        <v>254</v>
      </c>
      <c r="I86" t="inlineStr">
        <is>
          <t>Ø222~267mm</t>
        </is>
      </c>
      <c r="J86" t="n">
        <v>1800</v>
      </c>
      <c r="K86" t="n">
        <v>4800</v>
      </c>
      <c r="L86" t="inlineStr">
        <is>
          <t>https://www.bauhaus.cz/stanley-pokosova-pila-sm1800-qs-32387317</t>
        </is>
      </c>
      <c r="M86" s="2" t="n">
        <v>279.16</v>
      </c>
      <c r="N86" t="inlineStr">
        <is>
          <t>Bauhaus（CZ）；Kaufland.at（AT）；ManoMano.it（IT）；Cdiscount（FR）</t>
        </is>
      </c>
      <c r="O86" t="inlineStr">
        <is>
          <t>一般</t>
        </is>
      </c>
    </row>
    <row r="87">
      <c r="A87" t="inlineStr">
        <is>
          <t>SCR 255 CW</t>
        </is>
      </c>
      <c r="B87">
        <f>IMAGE("https://media.ferramentas.pt/catalog/product/s/e/serra-de-esquadria-telescopica-255mm-stayer-scr255cw.jpg?width=265&amp;height=265&amp;store=default&amp;image-type=image")</f>
        <v/>
      </c>
      <c r="C87" t="inlineStr">
        <is>
          <t>OEM 品牌</t>
        </is>
      </c>
      <c r="D87" t="inlineStr">
        <is>
          <t>Stayer</t>
        </is>
      </c>
      <c r="E87" t="inlineStr">
        <is>
          <t>1.Miter Base</t>
        </is>
      </c>
      <c r="F87" t="inlineStr"/>
      <c r="G87" t="inlineStr"/>
      <c r="H87" t="n">
        <v>255</v>
      </c>
      <c r="I87" t="inlineStr">
        <is>
          <t>Ø222~267mm</t>
        </is>
      </c>
      <c r="J87" t="n">
        <v>1800</v>
      </c>
      <c r="K87" t="n">
        <v>6000</v>
      </c>
      <c r="L87" t="inlineStr">
        <is>
          <t>https://ferramentas.pt/serra-de-esquadria-telescopica-255mm-stayer-scr255cw.html</t>
        </is>
      </c>
      <c r="M87" s="2" t="n">
        <v>607.62</v>
      </c>
      <c r="N87" t="inlineStr">
        <is>
          <t>Ferramentas.pt（PT）（促銷價：頁面現價 319.75、劃線原價 607.62（「elescópica 255mm Stayer SCR255CW Special Price 319」），採劃線原價（2026-10-22 表單））；ManoMano.it（IT）</t>
        </is>
      </c>
      <c r="O87" t="inlineStr">
        <is>
          <t>一般</t>
        </is>
      </c>
    </row>
    <row r="88">
      <c r="A88" t="inlineStr">
        <is>
          <t>MS01</t>
        </is>
      </c>
      <c r="B88">
        <f>IMAGE("https://media.diy.com/is/image/KingfisherDigital/switzer-mitre-saw-10-inch-compound-sliding-2000w-single-bevel-cut-laser-blade~5055418336451_01c_MP?$MOB_PREV$&amp;$width=1200&amp;$height=1200")</f>
        <v/>
      </c>
      <c r="C88" t="inlineStr">
        <is>
          <t>零售品牌</t>
        </is>
      </c>
      <c r="D88" t="inlineStr">
        <is>
          <t>SwitZer</t>
        </is>
      </c>
      <c r="E88" t="inlineStr"/>
      <c r="F88" t="inlineStr"/>
      <c r="G88" t="inlineStr"/>
      <c r="H88" t="n">
        <v>255</v>
      </c>
      <c r="I88" t="inlineStr">
        <is>
          <t>Ø222~267mm</t>
        </is>
      </c>
      <c r="J88" t="n">
        <v>2000</v>
      </c>
      <c r="K88" t="n">
        <v>4500</v>
      </c>
      <c r="L88" t="inlineStr">
        <is>
          <t>https://www.diy.com/departments/switzer-mitre-saw-10-inch-compound-sliding-2000w-single-bevel-cut-laser-blade/5055418336451_BQ.prd</t>
        </is>
      </c>
      <c r="M88" s="2" t="n">
        <v>118.49</v>
      </c>
      <c r="N88" t="inlineStr">
        <is>
          <t>B&amp;Q（GB）</t>
        </is>
      </c>
      <c r="O88" t="inlineStr">
        <is>
          <t>一般</t>
        </is>
      </c>
    </row>
    <row r="89">
      <c r="A89" t="inlineStr">
        <is>
          <t>SZ-MS03</t>
        </is>
      </c>
      <c r="B89">
        <f>IMAGE("https://media.diy.com/is/image/KingfisherDigital/switzer-mitre-saw-10-compound-sliding-1800w-double-bevel-shadow-line-cutting~5055418345163_01c_MP?$MOB_PREV$&amp;$width=1200&amp;$height=1200")</f>
        <v/>
      </c>
      <c r="C89" t="inlineStr">
        <is>
          <t>零售品牌</t>
        </is>
      </c>
      <c r="D89" t="inlineStr">
        <is>
          <t>SwitZer</t>
        </is>
      </c>
      <c r="E89" t="inlineStr"/>
      <c r="F89" t="inlineStr">
        <is>
          <t>Dual</t>
        </is>
      </c>
      <c r="G89" t="inlineStr"/>
      <c r="H89" t="n">
        <v>255</v>
      </c>
      <c r="I89" t="inlineStr">
        <is>
          <t>Ø222~267mm</t>
        </is>
      </c>
      <c r="J89" t="n">
        <v>1800</v>
      </c>
      <c r="K89" t="n">
        <v>5000</v>
      </c>
      <c r="L89" t="inlineStr">
        <is>
          <t>https://www.diy.com/departments/switzer-mitre-saw-10-compound-sliding-1800w-double-bevel-shadow-line-cutting/5055418345163_BQ.prd</t>
        </is>
      </c>
      <c r="M89" s="2" t="n">
        <v>118.49</v>
      </c>
      <c r="N89" t="inlineStr">
        <is>
          <t>B&amp;Q（GB）</t>
        </is>
      </c>
      <c r="O89" t="inlineStr">
        <is>
          <t>一般</t>
        </is>
      </c>
    </row>
    <row r="90">
      <c r="A90" t="inlineStr">
        <is>
          <t>TS421825517</t>
        </is>
      </c>
      <c r="B90">
        <f>IMAGE("https://cdn.manomano.com/pim-media/images/medium/c7fe20f34d17dc3bc0d7c1fd65db11d2d3acf569.jpg")</f>
        <v/>
      </c>
      <c r="C90" t="inlineStr">
        <is>
          <t>零售品牌</t>
        </is>
      </c>
      <c r="D90" t="inlineStr">
        <is>
          <t>Total</t>
        </is>
      </c>
      <c r="E90" t="inlineStr">
        <is>
          <t>1.Miter Base</t>
        </is>
      </c>
      <c r="F90" t="inlineStr">
        <is>
          <t>Single</t>
        </is>
      </c>
      <c r="G90" t="inlineStr"/>
      <c r="H90" t="n">
        <v>255</v>
      </c>
      <c r="I90" t="inlineStr">
        <is>
          <t>Ø222~267mm</t>
        </is>
      </c>
      <c r="J90" t="n">
        <v>1800</v>
      </c>
      <c r="K90" t="n">
        <v>5300</v>
      </c>
      <c r="L90" t="inlineStr">
        <is>
          <t>https://www.manomano.es/p/total-tools-ingletadora-telescopica-ts421825517-1800w-89774121</t>
        </is>
      </c>
      <c r="M90" s="2" t="n">
        <v>269</v>
      </c>
      <c r="N90" t="inlineStr">
        <is>
          <t>ManoMano ES（ES）；Skroutz（GR）（不採計：這頁沒有型號或刀徑原文）</t>
        </is>
      </c>
      <c r="O90" t="inlineStr">
        <is>
          <t>一般</t>
        </is>
      </c>
    </row>
    <row r="91">
      <c r="A91" t="inlineStr">
        <is>
          <t>TRL256L</t>
        </is>
      </c>
      <c r="B91">
        <f>IMAGE("https://cdn.manomano.com/pim-media/images/medium/d0deef04bc9b4b6057e5e241633f12ff4eb97767.jpg")</f>
        <v/>
      </c>
      <c r="C91" t="inlineStr">
        <is>
          <t>零售品牌</t>
        </is>
      </c>
      <c r="D91" t="inlineStr">
        <is>
          <t>Valex</t>
        </is>
      </c>
      <c r="E91" t="inlineStr">
        <is>
          <t>1.Miter Base</t>
        </is>
      </c>
      <c r="F91" t="inlineStr"/>
      <c r="G91" t="inlineStr"/>
      <c r="H91" t="n">
        <v>255</v>
      </c>
      <c r="I91" t="inlineStr">
        <is>
          <t>Ø222~267mm</t>
        </is>
      </c>
      <c r="J91" t="n">
        <v>2000</v>
      </c>
      <c r="K91" t="n">
        <v>4500</v>
      </c>
      <c r="L91" t="inlineStr">
        <is>
          <t>https://www.manomano.it/p/troncatrice-radiale-valex-trl256l-34936301</t>
        </is>
      </c>
      <c r="M91" s="2" t="n">
        <v>267.84</v>
      </c>
      <c r="N91" t="inlineStr">
        <is>
          <t>ManoMano.it（IT）</t>
        </is>
      </c>
      <c r="O91" t="inlineStr">
        <is>
          <t>一般</t>
        </is>
      </c>
    </row>
    <row r="92">
      <c r="A92" t="inlineStr">
        <is>
          <t>VMS 2000-255 S</t>
        </is>
      </c>
      <c r="B92">
        <f>IMAGE("https://www.agromarket.rs/files/images/slike_proizvoda/062796.jpg")</f>
        <v/>
      </c>
      <c r="C92" t="inlineStr">
        <is>
          <t>零售品牌</t>
        </is>
      </c>
      <c r="D92" t="inlineStr">
        <is>
          <t>Villager</t>
        </is>
      </c>
      <c r="E92" t="inlineStr">
        <is>
          <t>1.Miter Base</t>
        </is>
      </c>
      <c r="F92" t="inlineStr">
        <is>
          <t>Single</t>
        </is>
      </c>
      <c r="G92" t="inlineStr"/>
      <c r="H92" t="n">
        <v>255</v>
      </c>
      <c r="I92" t="inlineStr">
        <is>
          <t>Ø222~267mm</t>
        </is>
      </c>
      <c r="J92" t="n">
        <v>2000</v>
      </c>
      <c r="K92" t="n">
        <v>5000</v>
      </c>
      <c r="L92" t="inlineStr">
        <is>
          <t>https://www.agromarket.rs/stacionarne-masine/37430-dijagonalna-testera-za-razrezivanjepotezna-vms-2000-255-s</t>
        </is>
      </c>
      <c r="M92" s="2" t="n">
        <v>221.44</v>
      </c>
      <c r="N92" t="inlineStr">
        <is>
          <t>Agromarket（RS）</t>
        </is>
      </c>
      <c r="O92" t="inlineStr">
        <is>
          <t>一般</t>
        </is>
      </c>
    </row>
    <row r="93">
      <c r="A93" t="inlineStr">
        <is>
          <t>MS502AC</t>
        </is>
      </c>
      <c r="B93">
        <f>IMAGE("https://d2fb1ew6v6wv87.cloudfront.net/products/10160968/s00/1400x1400/origin.webp")</f>
        <v/>
      </c>
      <c r="C93" t="inlineStr">
        <is>
          <t>零售品牌</t>
        </is>
      </c>
      <c r="D93" t="inlineStr">
        <is>
          <t>VONROC</t>
        </is>
      </c>
      <c r="E93" t="inlineStr">
        <is>
          <t>1.Miter Base</t>
        </is>
      </c>
      <c r="F93" t="inlineStr"/>
      <c r="G93" t="inlineStr"/>
      <c r="H93" t="n">
        <v>254</v>
      </c>
      <c r="I93" t="inlineStr">
        <is>
          <t>Ø222~267mm</t>
        </is>
      </c>
      <c r="J93" t="n">
        <v>2000</v>
      </c>
      <c r="K93" t="n">
        <v>4500</v>
      </c>
      <c r="L93" t="inlineStr">
        <is>
          <t>https://www.praxis.nl/gereedschap-werkplaats/elektrisch-gereedschap/zaagmachines/afkortzagen/vonroc-afkortzaag-2200w-254mm-radiaal-kap-en-verstekzaag-met-laser-en-led/10160968</t>
        </is>
      </c>
      <c r="M93" s="2" t="n">
        <v>129.95</v>
      </c>
      <c r="N93" t="inlineStr">
        <is>
          <t>Praxis（NL）；Leroy Merlin IT（IT）；MediaMarkt NL（NL）；Cdiscount（FR）</t>
        </is>
      </c>
      <c r="O93" t="inlineStr">
        <is>
          <t>一般</t>
        </is>
      </c>
    </row>
    <row r="94">
      <c r="A94" t="inlineStr">
        <is>
          <t>MS507AC</t>
        </is>
      </c>
      <c r="B94">
        <f>IMAGE("https://media.hornbach.de/mp/packshot/8ebee848-2d38-4e3b-bf73-ffd71f2cfa7e?size=1400")</f>
        <v/>
      </c>
      <c r="C94" t="inlineStr">
        <is>
          <t>零售品牌</t>
        </is>
      </c>
      <c r="D94" t="inlineStr">
        <is>
          <t>VONROC</t>
        </is>
      </c>
      <c r="E94" t="inlineStr">
        <is>
          <t>1.Miter Base</t>
        </is>
      </c>
      <c r="F94" t="inlineStr">
        <is>
          <t>Single</t>
        </is>
      </c>
      <c r="G94" t="inlineStr"/>
      <c r="H94" t="n">
        <v>255</v>
      </c>
      <c r="I94" t="inlineStr">
        <is>
          <t>Ø222~267mm</t>
        </is>
      </c>
      <c r="J94" t="n">
        <v>2200</v>
      </c>
      <c r="K94" t="inlineStr">
        <is>
          <t>3200-4500</t>
        </is>
      </c>
      <c r="L94" t="inlineStr">
        <is>
          <t>https://www.hornbach.de/p/vonroc-profi-kapp-und-gehrungssaege-zug-und-kappsaege-multimaterial-elektrische-saege-2200w-254mm-mit-laser-metall-holz-stahl-jetzt-variante-waehlen/12385633/</t>
        </is>
      </c>
      <c r="M94" s="2" t="n">
        <v>154.95</v>
      </c>
      <c r="N94" t="inlineStr">
        <is>
          <t>Hornbach（DE）；eMAG.bg（BG）；eMAG.hu（HU）；MediaMarkt NL（NL）</t>
        </is>
      </c>
      <c r="O94" t="inlineStr">
        <is>
          <t>一般</t>
        </is>
      </c>
    </row>
    <row r="95">
      <c r="A95" t="inlineStr">
        <is>
          <t>YT-82173</t>
        </is>
      </c>
      <c r="B95">
        <f>IMAGE("https://i.allo.ua/media/catalog/product/cache/3/image/468x468/602f0fa2c1f0d1ba5e241f914e856ff9/import/4524411316460977.webp")</f>
        <v/>
      </c>
      <c r="C95" t="inlineStr">
        <is>
          <t>零售品牌</t>
        </is>
      </c>
      <c r="D95" t="inlineStr">
        <is>
          <t>Yato</t>
        </is>
      </c>
      <c r="E95" t="inlineStr">
        <is>
          <t>1.Miter Base</t>
        </is>
      </c>
      <c r="F95" t="inlineStr"/>
      <c r="G95" t="inlineStr"/>
      <c r="H95" t="n">
        <v>255</v>
      </c>
      <c r="I95" t="inlineStr">
        <is>
          <t>Ø222~267mm</t>
        </is>
      </c>
      <c r="J95" t="n">
        <v>1800</v>
      </c>
      <c r="K95" t="n">
        <v>5000</v>
      </c>
      <c r="L95" t="inlineStr">
        <is>
          <t>https://allo.ua/ua/torcovochnye-pily/pila-torcjuval-na-yato-yt-82173.html</t>
        </is>
      </c>
      <c r="M95" s="2" t="n">
        <v>219.86</v>
      </c>
      <c r="N95" t="inlineStr">
        <is>
          <t>Allo.ua（UA）；eBay.es（ES）；220.lv（LV）</t>
        </is>
      </c>
      <c r="O95" t="inlineStr">
        <is>
          <t>一般</t>
        </is>
      </c>
    </row>
    <row r="96">
      <c r="A96" t="inlineStr">
        <is>
          <t>ZI-KGS255DS</t>
        </is>
      </c>
      <c r="B96">
        <f>IMAGE("https://bilder.obi.cz/bb38e080-33d1-4821-94b6-1a80a3674780/prZZK/image.jpg")</f>
        <v/>
      </c>
      <c r="C96" t="inlineStr">
        <is>
          <t>零售品牌</t>
        </is>
      </c>
      <c r="D96" t="inlineStr">
        <is>
          <t>Zipper</t>
        </is>
      </c>
      <c r="E96" t="inlineStr">
        <is>
          <t>1.Miter Base</t>
        </is>
      </c>
      <c r="F96" t="inlineStr">
        <is>
          <t>Dual</t>
        </is>
      </c>
      <c r="G96" t="inlineStr"/>
      <c r="H96" t="n">
        <v>255</v>
      </c>
      <c r="I96" t="inlineStr">
        <is>
          <t>Ø222~267mm</t>
        </is>
      </c>
      <c r="J96" t="n">
        <v>2000</v>
      </c>
      <c r="K96" t="inlineStr">
        <is>
          <t>3200/4500</t>
        </is>
      </c>
      <c r="L96" t="inlineStr">
        <is>
          <t>https://www.obi.cz/formatovaci-kapovaci-a-pokosove-pily/zipper-pokosova-pila-zi-kgs255ds/p/6710685</t>
        </is>
      </c>
      <c r="M96" s="2" t="n">
        <v>172.63</v>
      </c>
      <c r="N96" t="inlineStr">
        <is>
          <t>OBI（CZ）；OBI AT（AT）；OBI（DE）；Kaufland.at（AT）；Kaufland.de（DE）；ManoMano.it（IT）；OBI（HU）；ManoMano ES（ES）（不採計：這頁沒有型號或刀徑原文）</t>
        </is>
      </c>
      <c r="O96" t="inlineStr">
        <is>
          <t>一般</t>
        </is>
      </c>
    </row>
  </sheetData>
  <autoFilter ref="A1:O96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  <hyperlink xmlns:r="http://schemas.openxmlformats.org/officeDocument/2006/relationships" ref="L78" r:id="rId77"/>
    <hyperlink xmlns:r="http://schemas.openxmlformats.org/officeDocument/2006/relationships" ref="L79" r:id="rId78"/>
    <hyperlink xmlns:r="http://schemas.openxmlformats.org/officeDocument/2006/relationships" ref="L80" r:id="rId79"/>
    <hyperlink xmlns:r="http://schemas.openxmlformats.org/officeDocument/2006/relationships" ref="L81" r:id="rId80"/>
    <hyperlink xmlns:r="http://schemas.openxmlformats.org/officeDocument/2006/relationships" ref="L82" r:id="rId81"/>
    <hyperlink xmlns:r="http://schemas.openxmlformats.org/officeDocument/2006/relationships" ref="L83" r:id="rId82"/>
    <hyperlink xmlns:r="http://schemas.openxmlformats.org/officeDocument/2006/relationships" ref="L84" r:id="rId83"/>
    <hyperlink xmlns:r="http://schemas.openxmlformats.org/officeDocument/2006/relationships" ref="L85" r:id="rId84"/>
    <hyperlink xmlns:r="http://schemas.openxmlformats.org/officeDocument/2006/relationships" ref="L86" r:id="rId85"/>
    <hyperlink xmlns:r="http://schemas.openxmlformats.org/officeDocument/2006/relationships" ref="L87" r:id="rId86"/>
    <hyperlink xmlns:r="http://schemas.openxmlformats.org/officeDocument/2006/relationships" ref="L88" r:id="rId87"/>
    <hyperlink xmlns:r="http://schemas.openxmlformats.org/officeDocument/2006/relationships" ref="L89" r:id="rId88"/>
    <hyperlink xmlns:r="http://schemas.openxmlformats.org/officeDocument/2006/relationships" ref="L90" r:id="rId89"/>
    <hyperlink xmlns:r="http://schemas.openxmlformats.org/officeDocument/2006/relationships" ref="L91" r:id="rId90"/>
    <hyperlink xmlns:r="http://schemas.openxmlformats.org/officeDocument/2006/relationships" ref="L92" r:id="rId91"/>
    <hyperlink xmlns:r="http://schemas.openxmlformats.org/officeDocument/2006/relationships" ref="L93" r:id="rId92"/>
    <hyperlink xmlns:r="http://schemas.openxmlformats.org/officeDocument/2006/relationships" ref="L94" r:id="rId93"/>
    <hyperlink xmlns:r="http://schemas.openxmlformats.org/officeDocument/2006/relationships" ref="L95" r:id="rId94"/>
    <hyperlink xmlns:r="http://schemas.openxmlformats.org/officeDocument/2006/relationships" ref="L96" r:id="rId9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1" customWidth="1" min="3" max="3"/>
    <col width="16" customWidth="1" min="4" max="4"/>
    <col width="14" customWidth="1" min="5" max="5"/>
    <col width="9" customWidth="1" min="6" max="6"/>
    <col width="13" customWidth="1" min="7" max="7"/>
    <col width="10" customWidth="1" min="8" max="8"/>
    <col width="13" customWidth="1" min="9" max="9"/>
    <col width="8" customWidth="1" min="10" max="10"/>
    <col width="8" customWidth="1" min="11" max="11"/>
    <col width="40" customWidth="1" min="12" max="12"/>
    <col width="13" customWidth="1" min="13" max="13"/>
    <col width="36" customWidth="1" min="14" max="14"/>
    <col width="10" customWidth="1" min="15" max="15"/>
  </cols>
  <sheetData>
    <row r="1">
      <c r="A1" s="1" t="inlineStr">
        <is>
          <t>Model #</t>
        </is>
      </c>
      <c r="B1" s="1" t="inlineStr">
        <is>
          <t>Image</t>
        </is>
      </c>
      <c r="C1" s="1" t="inlineStr">
        <is>
          <t>零售／OEM</t>
        </is>
      </c>
      <c r="D1" s="1" t="inlineStr">
        <is>
          <t>Brand</t>
        </is>
      </c>
      <c r="E1" s="1" t="inlineStr">
        <is>
          <t>Type</t>
        </is>
      </c>
      <c r="F1" s="1" t="inlineStr">
        <is>
          <t>Bevel</t>
        </is>
      </c>
      <c r="G1" s="1" t="inlineStr">
        <is>
          <t>Slide</t>
        </is>
      </c>
      <c r="H1" s="1" t="inlineStr">
        <is>
          <t>Blade Diameter</t>
        </is>
      </c>
      <c r="I1" s="1" t="inlineStr">
        <is>
          <t>Blade Range</t>
        </is>
      </c>
      <c r="J1" s="1" t="inlineStr">
        <is>
          <t>Watt</t>
        </is>
      </c>
      <c r="K1" s="1" t="inlineStr">
        <is>
          <t>RPM</t>
        </is>
      </c>
      <c r="L1" s="1" t="inlineStr">
        <is>
          <t>Source</t>
        </is>
      </c>
      <c r="M1" s="1" t="inlineStr">
        <is>
          <t>Price</t>
        </is>
      </c>
      <c r="N1" s="1" t="inlineStr">
        <is>
          <t>通路</t>
        </is>
      </c>
      <c r="O1" s="1" t="inlineStr">
        <is>
          <t>機種類別</t>
        </is>
      </c>
    </row>
    <row r="2">
      <c r="A2" t="inlineStr">
        <is>
          <t>T 250</t>
        </is>
      </c>
      <c r="B2">
        <f>IMAGE("https://media.hornbach.ch/hb/packshot/as.34068512.jpg?dvid=8")</f>
        <v/>
      </c>
      <c r="C2" t="inlineStr">
        <is>
          <t>OEM 品牌</t>
        </is>
      </c>
      <c r="D2" t="inlineStr">
        <is>
          <t>Atika</t>
        </is>
      </c>
      <c r="E2" t="inlineStr"/>
      <c r="F2" t="inlineStr"/>
      <c r="G2" t="inlineStr">
        <is>
          <t>No</t>
        </is>
      </c>
      <c r="H2" t="n">
        <v>250</v>
      </c>
      <c r="I2" t="inlineStr">
        <is>
          <t>Ø222~267mm</t>
        </is>
      </c>
      <c r="J2" t="n">
        <v>1800</v>
      </c>
      <c r="K2" t="inlineStr"/>
      <c r="L2" t="inlineStr">
        <is>
          <t>https://www.hornbach.ch/de/p/atika-tischkreissaege-t-250/10351341/</t>
        </is>
      </c>
      <c r="M2" s="2" t="n">
        <v>166.09</v>
      </c>
      <c r="N2" t="inlineStr">
        <is>
          <t>Hornbach.ch（CH）</t>
        </is>
      </c>
      <c r="O2" t="inlineStr">
        <is>
          <t>一般</t>
        </is>
      </c>
    </row>
    <row r="3">
      <c r="A3" t="inlineStr">
        <is>
          <t>T 250 N-3</t>
        </is>
      </c>
      <c r="B3">
        <f>IMAGE("https://media.hornbach.de/hb/packshot/as.6745668.jpg?dvid=8")</f>
        <v/>
      </c>
      <c r="C3" t="inlineStr">
        <is>
          <t>OEM 品牌</t>
        </is>
      </c>
      <c r="D3" t="inlineStr">
        <is>
          <t>Atika</t>
        </is>
      </c>
      <c r="E3" t="inlineStr">
        <is>
          <t>3.Floor</t>
        </is>
      </c>
      <c r="F3" t="inlineStr"/>
      <c r="G3" t="inlineStr">
        <is>
          <t>No</t>
        </is>
      </c>
      <c r="H3" t="n">
        <v>250</v>
      </c>
      <c r="I3" t="inlineStr">
        <is>
          <t>Ø222~267mm</t>
        </is>
      </c>
      <c r="J3" t="n">
        <v>2000</v>
      </c>
      <c r="K3" t="inlineStr">
        <is>
          <t>5000</t>
        </is>
      </c>
      <c r="L3" t="inlineStr">
        <is>
          <t>https://www.hornbach.de/p/tischkreissaege-atika-t-250-n-3/10272419/</t>
        </is>
      </c>
      <c r="M3" s="2" t="n">
        <v>179</v>
      </c>
      <c r="N3" t="inlineStr">
        <is>
          <t>Hornbach（DE）；Hornbach.ch（CH）；Kaufland.de（DE）；Hornbach.se（SE）</t>
        </is>
      </c>
      <c r="O3" t="inlineStr">
        <is>
          <t>一般</t>
        </is>
      </c>
    </row>
    <row r="4">
      <c r="A4" t="inlineStr">
        <is>
          <t>T250 ECO-3</t>
        </is>
      </c>
      <c r="B4">
        <f>IMAGE("https://mlo9n1oj0dxx.i.optimole.com/cb:mL8X.5621c/w:800/h:800/q:100/f:best/https://toolsandhardware.eu/wp-content/uploads/2025/05/atika-koka-galda-zagis-2000w-250mm-85mm-t250n-3.jpg")</f>
        <v/>
      </c>
      <c r="C4" t="inlineStr">
        <is>
          <t>OEM 品牌</t>
        </is>
      </c>
      <c r="D4" t="inlineStr">
        <is>
          <t>Atika</t>
        </is>
      </c>
      <c r="E4" t="inlineStr">
        <is>
          <t>3.Floor</t>
        </is>
      </c>
      <c r="F4" t="inlineStr"/>
      <c r="G4" t="inlineStr">
        <is>
          <t>No</t>
        </is>
      </c>
      <c r="H4" t="n">
        <v>250</v>
      </c>
      <c r="I4" t="inlineStr">
        <is>
          <t>Ø222~267mm</t>
        </is>
      </c>
      <c r="J4" t="n">
        <v>1800</v>
      </c>
      <c r="K4" t="n">
        <v>5000</v>
      </c>
      <c r="L4" t="inlineStr">
        <is>
          <t>https://toolsandhardware.eu/product/atika-t250-eco-3-saw-a302646/</t>
        </is>
      </c>
      <c r="M4" s="2" t="n">
        <v>320</v>
      </c>
      <c r="N4" t="inlineStr">
        <is>
          <t>Tools &amp; Hardware（MT）（可預訂）</t>
        </is>
      </c>
      <c r="O4" t="inlineStr">
        <is>
          <t>一般</t>
        </is>
      </c>
    </row>
    <row r="5">
      <c r="A5" t="inlineStr">
        <is>
          <t>GMS 250 Z</t>
        </is>
      </c>
      <c r="B5">
        <f>IMAGE("https://image03.idefix.com/resize/750/0/product/17498537/attlas-gms-250-z-tezgah-testere-2000-w-a0701018-6943a947649f2.jpg")</f>
        <v/>
      </c>
      <c r="C5" t="inlineStr">
        <is>
          <t>零售品牌</t>
        </is>
      </c>
      <c r="D5" t="inlineStr">
        <is>
          <t>Attlas</t>
        </is>
      </c>
      <c r="E5" t="inlineStr">
        <is>
          <t>1.Table Top</t>
        </is>
      </c>
      <c r="F5" t="inlineStr"/>
      <c r="G5" t="inlineStr">
        <is>
          <t>No</t>
        </is>
      </c>
      <c r="H5" t="n">
        <v>250</v>
      </c>
      <c r="I5" t="inlineStr">
        <is>
          <t>Ø222~267mm</t>
        </is>
      </c>
      <c r="J5" t="inlineStr"/>
      <c r="K5" t="n">
        <v>4000</v>
      </c>
      <c r="L5" t="inlineStr">
        <is>
          <t>https://www.idefix.com/attlas-gms-250-z-tezgah-testere-2000-w-a0701018-p-17498537</t>
        </is>
      </c>
      <c r="M5" s="2" t="n">
        <v>234.6</v>
      </c>
      <c r="N5" t="inlineStr">
        <is>
          <t>idefix（TR）</t>
        </is>
      </c>
      <c r="O5" t="inlineStr">
        <is>
          <t>一般</t>
        </is>
      </c>
    </row>
    <row r="6">
      <c r="A6" t="inlineStr">
        <is>
          <t>BTS-250PRO</t>
        </is>
      </c>
      <c r="B6">
        <f>IMAGE("https://media.hornbach.de/mp/packshot/0abd71ec-9d2b-4508-9b82-df97bedafac7?size=1400")</f>
        <v/>
      </c>
      <c r="C6" t="inlineStr">
        <is>
          <t>零售品牌</t>
        </is>
      </c>
      <c r="D6" t="inlineStr">
        <is>
          <t>Bamato</t>
        </is>
      </c>
      <c r="E6" t="inlineStr">
        <is>
          <t>3.Floor</t>
        </is>
      </c>
      <c r="F6" t="inlineStr">
        <is>
          <t>Single</t>
        </is>
      </c>
      <c r="G6" t="inlineStr">
        <is>
          <t>Sliding Table</t>
        </is>
      </c>
      <c r="H6" t="n">
        <v>254</v>
      </c>
      <c r="I6" t="inlineStr">
        <is>
          <t>Ø222~267mm</t>
        </is>
      </c>
      <c r="J6" t="n">
        <v>3100</v>
      </c>
      <c r="K6" t="n">
        <v>4000</v>
      </c>
      <c r="L6" t="inlineStr">
        <is>
          <t>https://www.otto.de/p/bamato-tischkreissaege-bts-250pro-mit-254mm-saegeblatt-3-1kw-kreissaege-230v-1-st-xxl-zubehoer-schwenkbar-hochwertige-fuehrung-stabiler-anschlag-S0L7Z0W9/</t>
        </is>
      </c>
      <c r="M6" s="2" t="n">
        <v>849</v>
      </c>
      <c r="N6" t="inlineStr">
        <is>
          <t>OTTO（DE）；Hornbach（DE）；Galaxus（CH）（不採計：這頁沒有型號或刀徑原文）；Bauhaus（DE）</t>
        </is>
      </c>
      <c r="O6" t="inlineStr">
        <is>
          <t>工坊級</t>
        </is>
      </c>
    </row>
    <row r="7">
      <c r="A7" t="inlineStr">
        <is>
          <t>BES720-QS</t>
        </is>
      </c>
      <c r="B7">
        <f>IMAGE("https://www.obsbygg.no/globalassets/productimages/398301_5035048712412_1.jpg?ref=A7FDF52538")</f>
        <v/>
      </c>
      <c r="C7" t="inlineStr">
        <is>
          <t>OEM 品牌</t>
        </is>
      </c>
      <c r="D7" t="inlineStr">
        <is>
          <t>Black+Decker</t>
        </is>
      </c>
      <c r="E7" t="inlineStr">
        <is>
          <t>3.Floor</t>
        </is>
      </c>
      <c r="F7" t="inlineStr"/>
      <c r="G7" t="inlineStr">
        <is>
          <t>No</t>
        </is>
      </c>
      <c r="H7" t="n">
        <v>254</v>
      </c>
      <c r="I7" t="inlineStr">
        <is>
          <t>Ø222~267mm</t>
        </is>
      </c>
      <c r="J7" t="n">
        <v>1800</v>
      </c>
      <c r="K7" t="n">
        <v>5200</v>
      </c>
      <c r="L7" t="inlineStr">
        <is>
          <t>https://www.obsbygg.no/verktoy-og-tilbehor/elektroverktoy/bordsager/2156375?v=ObsBygg-5035048712412</t>
        </is>
      </c>
      <c r="M7" s="2" t="n">
        <v>217.24</v>
      </c>
      <c r="N7" t="inlineStr">
        <is>
          <t>Obs Bygg（NO）；ManoMano.de（DE）；GAMMA（BE）；Hornbach.se（SE）；eMAG（RO）；eMAG.hu（HU）；Praxis（NL）（不採計：這頁沒有型號或刀徑原文；促銷價：頁面現價 179.2、劃線原價 224.0（「in gebruik, snel en precies Toon specificaties  20」），採劃線原價（2026-10-22 表單））</t>
        </is>
      </c>
      <c r="O7" t="inlineStr">
        <is>
          <t>一般</t>
        </is>
      </c>
    </row>
    <row r="8">
      <c r="A8" t="inlineStr">
        <is>
          <t>EXTS100-254X</t>
        </is>
      </c>
      <c r="B8">
        <f>IMAGE("https://media.ferramentas.pt/catalog/product/b/s/bs0601b30800.jpg?width=265&amp;height=265&amp;store=default&amp;image-type=image")</f>
        <v/>
      </c>
      <c r="C8" t="inlineStr">
        <is>
          <t>OEM 品牌</t>
        </is>
      </c>
      <c r="D8" t="inlineStr">
        <is>
          <t>Bosch</t>
        </is>
      </c>
      <c r="E8" t="inlineStr"/>
      <c r="F8" t="inlineStr"/>
      <c r="G8" t="inlineStr">
        <is>
          <t>Sliding Table</t>
        </is>
      </c>
      <c r="H8" t="n">
        <v>254</v>
      </c>
      <c r="I8" t="inlineStr">
        <is>
          <t>Ø222~267mm</t>
        </is>
      </c>
      <c r="J8" t="n">
        <v>2200</v>
      </c>
      <c r="K8" t="n">
        <v>4500</v>
      </c>
      <c r="L8" t="inlineStr">
        <is>
          <t>https://ferramentas.pt/serra-de-mesa-expert-exts100-254x-bosch-0-601-b30-800.html</t>
        </is>
      </c>
      <c r="M8" s="2" t="n">
        <v>1361.61</v>
      </c>
      <c r="N8" t="inlineStr">
        <is>
          <t>Ferramentas.pt（PT）（促銷價：頁面現價 1048.98、劃線原價 1361.61（「XTS100-254X Bosch 0.601.B30.800 Special Price 1048」），採劃線原價（2026-10-22 表單））</t>
        </is>
      </c>
      <c r="O8" t="inlineStr">
        <is>
          <t>一般</t>
        </is>
      </c>
    </row>
    <row r="9">
      <c r="A9" t="inlineStr">
        <is>
          <t>GTS 10 J</t>
        </is>
      </c>
      <c r="B9">
        <f>IMAGE("https://www.globus-baumarkt.de/media/0a/ea/4d/1776868237/3165140583657_1482848.webp")</f>
        <v/>
      </c>
      <c r="C9" t="inlineStr">
        <is>
          <t>OEM 品牌</t>
        </is>
      </c>
      <c r="D9" t="inlineStr">
        <is>
          <t>Bosch</t>
        </is>
      </c>
      <c r="E9" t="inlineStr"/>
      <c r="F9" t="inlineStr">
        <is>
          <t>Single</t>
        </is>
      </c>
      <c r="G9" t="inlineStr">
        <is>
          <t>No</t>
        </is>
      </c>
      <c r="H9" t="n">
        <v>254</v>
      </c>
      <c r="I9" t="inlineStr">
        <is>
          <t>Ø222~267mm</t>
        </is>
      </c>
      <c r="J9" t="n">
        <v>1800</v>
      </c>
      <c r="K9" t="n">
        <v>3650</v>
      </c>
      <c r="L9" t="inlineStr">
        <is>
          <t>https://www.globus-baumarkt.de/p/bosch-professional-tischkreissaege-gts-10-j-1800-w-0761101438/</t>
        </is>
      </c>
      <c r="M9" s="2" t="n">
        <v>649</v>
      </c>
      <c r="N9" t="inlineStr">
        <is>
          <t>Globus Baumarkt（DE）；OBI AT（AT）（只能到店／電話訂）；OBI（DE）；Tools &amp; Hardware（MT）（可預訂）；toom（DE）（缺貨）；OBI（CZ）；Hornbach.se（SE）；K-Rauta（FI）；Moyo（UA）（缺貨）；OBI（HU）；Leroy Merlin IT（IT）（促銷價：頁面現價 807.15、劃線原價 1204.32（「601B30500 Vedi i dettagli del prodotto 3 recension」），採劃線原價（2026-10-22 表單））；Castorama（FR）（促銷價：頁面現價 786.7、劃線原價 1227.48（「t: 0 étoiles sur 5 à partir de 0 évaluation du pro」），採劃線原價（2026-10-22 表單））</t>
        </is>
      </c>
      <c r="O9" t="inlineStr">
        <is>
          <t>一般</t>
        </is>
      </c>
    </row>
    <row r="10">
      <c r="A10" t="inlineStr">
        <is>
          <t>GTS 10 XC</t>
        </is>
      </c>
      <c r="B10">
        <f>IMAGE("https://cdn.manomano.com/pim-media/images/medium/4afb56e1d837ecfd8096286f3f7c1f649a06af41.jpg")</f>
        <v/>
      </c>
      <c r="C10" t="inlineStr">
        <is>
          <t>OEM 品牌</t>
        </is>
      </c>
      <c r="D10" t="inlineStr">
        <is>
          <t>Bosch</t>
        </is>
      </c>
      <c r="E10" t="inlineStr"/>
      <c r="F10" t="inlineStr">
        <is>
          <t>Single</t>
        </is>
      </c>
      <c r="G10" t="inlineStr">
        <is>
          <t>No</t>
        </is>
      </c>
      <c r="H10" t="n">
        <v>254</v>
      </c>
      <c r="I10" t="inlineStr">
        <is>
          <t>Ø222~267mm</t>
        </is>
      </c>
      <c r="J10" t="n">
        <v>2100</v>
      </c>
      <c r="K10" t="n">
        <v>4200</v>
      </c>
      <c r="L10" t="inlineStr">
        <is>
          <t>https://www.manomano.de/p/bosch-professional-gts-10-xc-tischkreissaege-0601b30400-75281156?model_id=1142062</t>
        </is>
      </c>
      <c r="M10" s="2" t="n">
        <v>597.29</v>
      </c>
      <c r="N10" t="inlineStr">
        <is>
          <t>ManoMano.de（DE）；Hornbach（DE）（只能到店／電話訂）；Sautershop（DE）；OBI（DE）；OBI AT（AT）；Tools &amp; Hardware（MT）（可預訂）；Alternate（DE）；Saturn（DE）；OBI（CZ）；Hornbach.se（SE）；K-Rauta（FI）；Moyo（UA）（缺貨）；OBI（HU）；Skroutz（GR）（跨境出貨（從 Βουλγαρία 出貨））；idefix（TR）；B&amp;Q（GB）；Castorama（FR）（促銷價：頁面現價 1297.2、劃線原價 1791.2（「t: 0 étoiles sur 5 à partir de 0 évaluation du pro」），採劃線原價（2026-10-22 表單））</t>
        </is>
      </c>
      <c r="O10" t="inlineStr">
        <is>
          <t>一般</t>
        </is>
      </c>
    </row>
    <row r="11">
      <c r="A11" t="inlineStr">
        <is>
          <t>GTS 254</t>
        </is>
      </c>
      <c r="B11">
        <f>IMAGE("https://bilder.obi.de/c5a956eb-9c07-4f5c-9e90-969f41509ae8/prZZD/image.jpeg")</f>
        <v/>
      </c>
      <c r="C11" t="inlineStr">
        <is>
          <t>OEM 品牌</t>
        </is>
      </c>
      <c r="D11" t="inlineStr">
        <is>
          <t>Bosch</t>
        </is>
      </c>
      <c r="E11" t="inlineStr">
        <is>
          <t>3.Floor</t>
        </is>
      </c>
      <c r="F11" t="inlineStr">
        <is>
          <t>Single</t>
        </is>
      </c>
      <c r="G11" t="inlineStr">
        <is>
          <t>No</t>
        </is>
      </c>
      <c r="H11" t="n">
        <v>254</v>
      </c>
      <c r="I11" t="inlineStr">
        <is>
          <t>Ø222~267mm</t>
        </is>
      </c>
      <c r="J11" t="n">
        <v>1800</v>
      </c>
      <c r="K11" t="n">
        <v>4300</v>
      </c>
      <c r="L11" t="inlineStr">
        <is>
          <t>https://www.emag.ro/ferastrau-circular-de-banc-bosch-professional-gts-254-1800-w-254-mm-diametru-panza-555x555-mm-dimensiune-masa-4300-rpm-panza-fierastrau-0601b45000/pd/DBW8KJMBM/</t>
        </is>
      </c>
      <c r="M11" s="2" t="n">
        <v>228.64</v>
      </c>
      <c r="N11" t="inlineStr">
        <is>
          <t>eMAG（RO）；ManoMano.de（DE）；OBI AT（AT）；OBI（DE）；Kaufland.at（AT）；Galaxus（CH）（不採計：這頁沒有型號或刀徑原文）；Kaufland.de（DE）；OBI（CZ）；Bauhaus（CZ）；Hornbach（RO）；K-Rauta（FI）；eMAG.hu（HU）；OBI（PL）；ManoMano ES（ES）</t>
        </is>
      </c>
      <c r="O11" t="inlineStr">
        <is>
          <t>一般</t>
        </is>
      </c>
    </row>
    <row r="12">
      <c r="A12" t="inlineStr">
        <is>
          <t>GTS100-254</t>
        </is>
      </c>
      <c r="B12">
        <f>IMAGE("https://cdn.manomano.com/pim-media/images/medium/d4db8c25e5ae2d16f373c7f7f4076386d669d7f9.jpg")</f>
        <v/>
      </c>
      <c r="C12" t="inlineStr">
        <is>
          <t>OEM 品牌</t>
        </is>
      </c>
      <c r="D12" t="inlineStr">
        <is>
          <t>Bosch</t>
        </is>
      </c>
      <c r="E12" t="inlineStr"/>
      <c r="F12" t="inlineStr">
        <is>
          <t>Single</t>
        </is>
      </c>
      <c r="G12" t="inlineStr">
        <is>
          <t>No</t>
        </is>
      </c>
      <c r="H12" t="n">
        <v>254</v>
      </c>
      <c r="I12" t="inlineStr">
        <is>
          <t>Ø222~267mm</t>
        </is>
      </c>
      <c r="J12" t="n">
        <v>2200</v>
      </c>
      <c r="K12" t="n">
        <v>4500</v>
      </c>
      <c r="L12" t="inlineStr">
        <is>
          <t>https://www.alternate.de/Bosch-Professional/Tischsäge-GTS100-254-Tischkreissäge/html/product/100206366</t>
        </is>
      </c>
      <c r="M12" s="2" t="n">
        <v>624</v>
      </c>
      <c r="N12" t="inlineStr">
        <is>
          <t>Alternate（DE）；ManoMano.de（DE）；OBI（DE）（促銷價：頁面現價 789.0、劃線原價 799.99（「sional Tischkreissäge GTS 100-254 Art. Nr: 2191158」），採劃線原價（2026-10-22 表單））；OBI AT（AT）（只能到店／電話訂）；Galaxus（CH）（不採計：這頁沒有型號或刀徑原文）；OTTO（DE）；OBI（CZ）；Netrauta.fi（FI）；Castorama（FR）（促銷價：頁面現價 817.2、劃線原價 999.99（「t: 0 étoiles sur 5 à partir de 0 évaluation du pro」），採劃線原價（2026-10-22 表單））；B&amp;Q（GB）（不採計：這頁沒有型號或刀徑原文）；MediaMarkt AT（AT）</t>
        </is>
      </c>
      <c r="O12" t="inlineStr">
        <is>
          <t>一般</t>
        </is>
      </c>
    </row>
    <row r="13">
      <c r="A13" t="inlineStr">
        <is>
          <t>W629</t>
        </is>
      </c>
      <c r="B13">
        <f>IMAGE("https://media.diy.com/is/image/KingfisherDigital/charnwood-w629-10-cast-iron-table-saw-with-sliding-carriage~5060281699978_01c_MP?$MOB_PREV$&amp;$width=1200&amp;$height=1200")</f>
        <v/>
      </c>
      <c r="C13" t="inlineStr">
        <is>
          <t>零售品牌</t>
        </is>
      </c>
      <c r="D13" t="inlineStr">
        <is>
          <t>Charnwood</t>
        </is>
      </c>
      <c r="E13" t="inlineStr">
        <is>
          <t>3.Floor</t>
        </is>
      </c>
      <c r="F13" t="inlineStr">
        <is>
          <t>Single</t>
        </is>
      </c>
      <c r="G13" t="inlineStr">
        <is>
          <t>Sliding Table</t>
        </is>
      </c>
      <c r="H13" t="n">
        <v>250</v>
      </c>
      <c r="I13" t="inlineStr">
        <is>
          <t>Ø222~267mm</t>
        </is>
      </c>
      <c r="J13" t="n">
        <v>2200</v>
      </c>
      <c r="K13" t="n">
        <v>4000</v>
      </c>
      <c r="L13" t="inlineStr">
        <is>
          <t>https://www.diy.com/departments/charnwood-w629-10-cast-iron-table-saw-with-sliding-carriage/5060281699978_BQ.prd</t>
        </is>
      </c>
      <c r="M13" s="2" t="n">
        <v>1243.11</v>
      </c>
      <c r="N13" t="inlineStr">
        <is>
          <t>B&amp;Q（GB）</t>
        </is>
      </c>
      <c r="O13" t="inlineStr">
        <is>
          <t>一般</t>
        </is>
      </c>
    </row>
    <row r="14">
      <c r="A14" t="inlineStr">
        <is>
          <t>C-TKS-1600</t>
        </is>
      </c>
      <c r="B14">
        <f>IMAGE("https://bilder.obi.sk/05a7a1a2-a4f1-42ec-9843-5793164253ef/prZZK/Tischkreissaege_CTKS1600_5.jpg")</f>
        <v/>
      </c>
      <c r="C14" t="inlineStr">
        <is>
          <t>零售品牌</t>
        </is>
      </c>
      <c r="D14" t="inlineStr">
        <is>
          <t>CMI</t>
        </is>
      </c>
      <c r="E14" t="inlineStr">
        <is>
          <t>3.Floor</t>
        </is>
      </c>
      <c r="F14" t="inlineStr"/>
      <c r="G14" t="inlineStr">
        <is>
          <t>No</t>
        </is>
      </c>
      <c r="H14" t="n">
        <v>254</v>
      </c>
      <c r="I14" t="inlineStr">
        <is>
          <t>Ø222~267mm</t>
        </is>
      </c>
      <c r="J14" t="n">
        <v>1600</v>
      </c>
      <c r="K14" t="n">
        <v>4800</v>
      </c>
      <c r="L14" t="inlineStr">
        <is>
          <t>https://www.obi.sk/stolove-kotucove-pily/cmi-stolova-kotucova-pila-c-tks-1600/p/4780250</t>
        </is>
      </c>
      <c r="M14" s="2" t="n">
        <v>124.99</v>
      </c>
      <c r="N14" t="inlineStr">
        <is>
          <t>OBI SK（SK）；OBI AT（AT）（只能到店／電話訂）；OBI（DE）（只能到店／電話訂）；OBI（CZ）；OBI（HU）</t>
        </is>
      </c>
      <c r="O14" t="inlineStr">
        <is>
          <t>一般</t>
        </is>
      </c>
    </row>
    <row r="15">
      <c r="A15" t="inlineStr">
        <is>
          <t>C-TKS-1600 eco</t>
        </is>
      </c>
      <c r="B15">
        <f>IMAGE("https://bilder.obi.at/4cb8ef48-85ef-4e8c-a947-41c5a8a5f125/prZZD/image.jpeg")</f>
        <v/>
      </c>
      <c r="C15" t="inlineStr">
        <is>
          <t>零售品牌</t>
        </is>
      </c>
      <c r="D15" t="inlineStr">
        <is>
          <t>CMI</t>
        </is>
      </c>
      <c r="E15" t="inlineStr"/>
      <c r="F15" t="inlineStr"/>
      <c r="G15" t="inlineStr">
        <is>
          <t>No</t>
        </is>
      </c>
      <c r="H15" t="n">
        <v>254</v>
      </c>
      <c r="I15" t="inlineStr">
        <is>
          <t>Ø222~267mm</t>
        </is>
      </c>
      <c r="J15" t="n">
        <v>1600</v>
      </c>
      <c r="K15" t="n">
        <v>4800</v>
      </c>
      <c r="L15" t="inlineStr">
        <is>
          <t>https://www.obi.at/p/4164554/cmi-tischkreissaege-c-tks-1600-eco</t>
        </is>
      </c>
      <c r="M15" s="2" t="n">
        <v>89.98999999999999</v>
      </c>
      <c r="N15" t="inlineStr">
        <is>
          <t>OBI AT（AT）（只能到店／電話訂）；OBI（DE）（只能到店／電話訂）；OBI（CZ）；OBI（HU）</t>
        </is>
      </c>
      <c r="O15" t="inlineStr">
        <is>
          <t>一般</t>
        </is>
      </c>
    </row>
    <row r="16">
      <c r="A16" t="inlineStr">
        <is>
          <t>DED7754T3</t>
        </is>
      </c>
      <c r="B16">
        <f>IMAGE("https://s13emagst.akamaized.net/products/76397/76396995/images/res_cab90a72fcecfc0df78209dd358cd64b.jpg?width=450&amp;height=450&amp;hash=23CF751A4C293D5C7B64921F6E3A64DB")</f>
        <v/>
      </c>
      <c r="C16" t="inlineStr">
        <is>
          <t>零售品牌</t>
        </is>
      </c>
      <c r="D16" t="inlineStr">
        <is>
          <t>Dedra</t>
        </is>
      </c>
      <c r="E16" t="inlineStr">
        <is>
          <t>3.Floor</t>
        </is>
      </c>
      <c r="F16" t="inlineStr"/>
      <c r="G16" t="inlineStr">
        <is>
          <t>No</t>
        </is>
      </c>
      <c r="H16" t="n">
        <v>254</v>
      </c>
      <c r="I16" t="inlineStr">
        <is>
          <t>Ø222~267mm</t>
        </is>
      </c>
      <c r="J16" t="n">
        <v>2000</v>
      </c>
      <c r="K16" t="n">
        <v>4800</v>
      </c>
      <c r="L16" t="inlineStr">
        <is>
          <t>https://www.emag.hu/dedra-asztali-korfuresz-254-mm-2000-w-3-db-korfureszlap-ded7754t3/pd/DDPXZCYBM/</t>
        </is>
      </c>
      <c r="M16" s="2" t="n">
        <v>182.1</v>
      </c>
      <c r="N16" t="inlineStr">
        <is>
          <t>eMAG.hu（HU）；ManoMano ES（ES）；ManoMano.de（DE）</t>
        </is>
      </c>
      <c r="O16" t="inlineStr">
        <is>
          <t>一般</t>
        </is>
      </c>
    </row>
    <row r="17">
      <c r="A17" t="inlineStr">
        <is>
          <t>DZ-C236</t>
        </is>
      </c>
      <c r="B17">
        <f>IMAGE("https://media.adeo.com/media/5103073/media.jpg")</f>
        <v/>
      </c>
      <c r="C17" t="inlineStr">
        <is>
          <t>零售品牌</t>
        </is>
      </c>
      <c r="D17" t="inlineStr">
        <is>
          <t>Detoolz</t>
        </is>
      </c>
      <c r="E17" t="inlineStr"/>
      <c r="F17" t="inlineStr"/>
      <c r="G17" t="inlineStr">
        <is>
          <t>No</t>
        </is>
      </c>
      <c r="H17" t="n">
        <v>250</v>
      </c>
      <c r="I17" t="inlineStr">
        <is>
          <t>Ø222~267mm</t>
        </is>
      </c>
      <c r="J17" t="n">
        <v>1800</v>
      </c>
      <c r="K17" t="inlineStr"/>
      <c r="L17" t="inlineStr">
        <is>
          <t>https://www.leroymerlin.ro/produse/fierastrau-circular-cu-masa-detoolz-dz-c236-1800-w-250-mm-12047952.html</t>
        </is>
      </c>
      <c r="M17" s="2" t="n">
        <v>151.63</v>
      </c>
      <c r="N17" t="inlineStr">
        <is>
          <t>Leroy Merlin（RO）；Skroutz（GR）（不採計：這頁沒有型號或刀徑原文）</t>
        </is>
      </c>
      <c r="O17" t="inlineStr">
        <is>
          <t>一般</t>
        </is>
      </c>
    </row>
    <row r="18">
      <c r="A18" t="inlineStr">
        <is>
          <t>DWE7492</t>
        </is>
      </c>
      <c r="B18">
        <f>IMAGE("https://bilder.obi.cz/71381dc6-b29e-43bd-9914-688b49a98ce1/prZZL/image.jpg")</f>
        <v/>
      </c>
      <c r="C18" t="inlineStr">
        <is>
          <t>OEM 品牌</t>
        </is>
      </c>
      <c r="D18" t="inlineStr">
        <is>
          <t>DeWalt</t>
        </is>
      </c>
      <c r="E18" t="inlineStr">
        <is>
          <t>3.Floor</t>
        </is>
      </c>
      <c r="F18" t="inlineStr">
        <is>
          <t>Single</t>
        </is>
      </c>
      <c r="G18" t="inlineStr">
        <is>
          <t>No</t>
        </is>
      </c>
      <c r="H18" t="n">
        <v>250</v>
      </c>
      <c r="I18" t="inlineStr">
        <is>
          <t>Ø222~267mm</t>
        </is>
      </c>
      <c r="J18" t="n">
        <v>2000</v>
      </c>
      <c r="K18" t="n">
        <v>4800</v>
      </c>
      <c r="L18" t="inlineStr">
        <is>
          <t>https://www.obi.cz/stolni-kotoucove-pily/dewalt-stolni-kotoucova-pila-dwe7492-qs-2-000-w-250-mm/p/7122591</t>
        </is>
      </c>
      <c r="M18" s="2" t="n">
        <v>628.99</v>
      </c>
      <c r="N18" t="inlineStr">
        <is>
          <t>OBI（CZ）；Sautershop（DE）；Toolstation（GB）；ManoMano.de（DE）；Bricozor（FR）；WowTools（GB）（促銷價：頁面現價 819.95、劃線原價 849.95（「kg Power Source: Corded Packaging: Carton Read Mor」），採劃線原價（2026-10-22 表單））；OTTO（DE）；Contorion（DE）；Ferramentas.pt（PT）（促銷價：頁面現價 759.88、劃線原價 988.92（「a 2000W Ø250mm DeWalt DWE7492-QS Special Price 759」），採劃線原價（2026-10-22 表單））；Moyo（UA）（缺貨）；Skroutz（GR）；eMAG.bg（BG）；eMAG.hu（HU）；Howe Tools（GB）（跨境出貨（從 UK 出貨））；Toolstation BE（BE）；Castorama（FR）；B&amp;Q（GB）</t>
        </is>
      </c>
      <c r="O18" t="inlineStr">
        <is>
          <t>一般</t>
        </is>
      </c>
    </row>
    <row r="19">
      <c r="A19" t="inlineStr">
        <is>
          <t>99258</t>
        </is>
      </c>
      <c r="B19">
        <f>IMAGE("https://cdn.aws.toolstation.com/images/141020-UK/250/28138.jpg")</f>
        <v/>
      </c>
      <c r="C19" t="inlineStr">
        <is>
          <t>零售品牌</t>
        </is>
      </c>
      <c r="D19" t="inlineStr">
        <is>
          <t>Draper</t>
        </is>
      </c>
      <c r="E19" t="inlineStr">
        <is>
          <t>1.Table Top</t>
        </is>
      </c>
      <c r="F19" t="inlineStr"/>
      <c r="G19" t="inlineStr">
        <is>
          <t>Sliding Table</t>
        </is>
      </c>
      <c r="H19" t="n">
        <v>250</v>
      </c>
      <c r="I19" t="inlineStr">
        <is>
          <t>Ø222~267mm</t>
        </is>
      </c>
      <c r="J19" t="n">
        <v>1800</v>
      </c>
      <c r="K19" t="n">
        <v>4700</v>
      </c>
      <c r="L19" t="inlineStr">
        <is>
          <t>https://www.toolstation.com/draper-sliding-table-saw-250mm-1800w/p28138</t>
        </is>
      </c>
      <c r="M19" s="2" t="n">
        <v>248.85</v>
      </c>
      <c r="N19" t="inlineStr">
        <is>
          <t>Toolstation（GB）；ManoMano.co.uk（GB）；Homebase（GB）</t>
        </is>
      </c>
      <c r="O19" t="inlineStr">
        <is>
          <t>一般</t>
        </is>
      </c>
    </row>
    <row r="20">
      <c r="A20" t="inlineStr">
        <is>
          <t>TC-TS 2000 U</t>
        </is>
      </c>
      <c r="B20">
        <f>IMAGE("https://static.toom.de/produkte/bilder/1501705/1501705_001.png?width=1200&amp;height=1200&amp;format=jpg")</f>
        <v/>
      </c>
      <c r="C20" t="inlineStr">
        <is>
          <t>OEM 品牌</t>
        </is>
      </c>
      <c r="D20" t="inlineStr">
        <is>
          <t>Einhell</t>
        </is>
      </c>
      <c r="E20" t="inlineStr"/>
      <c r="F20" t="inlineStr"/>
      <c r="G20" t="inlineStr">
        <is>
          <t>No</t>
        </is>
      </c>
      <c r="H20" t="n">
        <v>254</v>
      </c>
      <c r="I20" t="inlineStr">
        <is>
          <t>Ø222~267mm</t>
        </is>
      </c>
      <c r="J20" t="n">
        <v>2050</v>
      </c>
      <c r="K20" t="n">
        <v>4250</v>
      </c>
      <c r="L20" t="inlineStr">
        <is>
          <t>https://toom.de/p/tischkreissaege-tc-ts-2000-u-rot-1800-w/1501705</t>
        </is>
      </c>
      <c r="M20" s="2" t="n">
        <v>139.99</v>
      </c>
      <c r="N20" t="inlineStr">
        <is>
          <t>toom（DE）</t>
        </is>
      </c>
      <c r="O20" t="inlineStr">
        <is>
          <t>一般</t>
        </is>
      </c>
    </row>
    <row r="21">
      <c r="A21" t="inlineStr">
        <is>
          <t>TC-TS 2025/1 UA</t>
        </is>
      </c>
      <c r="B21">
        <f>IMAGE("https://media.adeo.com/mkp/0b4f63c1de9cf618e942dd4859ba2334/media.jpg")</f>
        <v/>
      </c>
      <c r="C21" t="inlineStr">
        <is>
          <t>OEM 品牌</t>
        </is>
      </c>
      <c r="D21" t="inlineStr">
        <is>
          <t>Einhell</t>
        </is>
      </c>
      <c r="E21" t="inlineStr"/>
      <c r="F21" t="inlineStr"/>
      <c r="G21" t="inlineStr">
        <is>
          <t>No</t>
        </is>
      </c>
      <c r="H21" t="n">
        <v>250</v>
      </c>
      <c r="I21" t="inlineStr">
        <is>
          <t>Ø222~267mm</t>
        </is>
      </c>
      <c r="J21" t="n">
        <v>1800</v>
      </c>
      <c r="K21" t="n">
        <v>5000</v>
      </c>
      <c r="L21" t="inlineStr">
        <is>
          <t>https://www.leroymerlin.it/prodotti/troncatrice-sega-circolare-per-legno-2000w-250mm-con-banco-banchetto-einhell-tc-ts-2025-1-ua-91470820.html</t>
        </is>
      </c>
      <c r="M21" s="2" t="n">
        <v>199.9</v>
      </c>
      <c r="N21" t="inlineStr">
        <is>
          <t>Leroy Merlin IT（IT）</t>
        </is>
      </c>
      <c r="O21" t="inlineStr">
        <is>
          <t>一般</t>
        </is>
      </c>
    </row>
    <row r="22">
      <c r="A22" t="inlineStr">
        <is>
          <t>TC-TS 2025/2 U</t>
        </is>
      </c>
      <c r="B22">
        <f>IMAGE("https://www.globus-baumarkt.de/media/17/dd/b4/1742547518/11132317_IMAGE_WITHOUT_REPRESENTATION.webp")</f>
        <v/>
      </c>
      <c r="C22" t="inlineStr">
        <is>
          <t>OEM 品牌</t>
        </is>
      </c>
      <c r="D22" t="inlineStr">
        <is>
          <t>Einhell</t>
        </is>
      </c>
      <c r="E22" t="inlineStr">
        <is>
          <t>3.Floor</t>
        </is>
      </c>
      <c r="F22" t="inlineStr">
        <is>
          <t>Single</t>
        </is>
      </c>
      <c r="G22" t="inlineStr">
        <is>
          <t>No</t>
        </is>
      </c>
      <c r="H22" t="n">
        <v>250</v>
      </c>
      <c r="I22" t="inlineStr">
        <is>
          <t>Ø222~267mm</t>
        </is>
      </c>
      <c r="J22" t="n">
        <v>1800</v>
      </c>
      <c r="K22" t="n">
        <v>5000</v>
      </c>
      <c r="L22" t="inlineStr">
        <is>
          <t>https://www.globus-baumarkt.de/p/einhell-tischkreissaege-tc-ts-2025-2-u-1800-w-5000-min-1-0761101786/</t>
        </is>
      </c>
      <c r="M22" s="2" t="n">
        <v>106</v>
      </c>
      <c r="N22" t="inlineStr">
        <is>
          <t>Globus Baumarkt（DE）；OBI（DE）；Hornbach AT（AT）；ManoMano.de（DE）；Hornbach（DE）；OBI AT（AT）；hagebau（DE）；hagebau.at（AT）（只能到店／電話訂）；Einhell webshop (einhell.de)（DE）；OBI.ch（CH）；Galaxus（CH）（不採計：這頁沒有型號或刀徑原文；促銷價：頁面現價 111、劃線原價 121（「ll TC-TS 2025/2 U + 10 −8% Einhell TC-TS 2025/2 U 」），採劃線原價（2026-10-22 表單））；Jumbo（CH）（不採計：這頁沒有型號或刀徑原文）；OBI（CZ）；Bauhaus（CZ）；Hornbach（CZ）；Hornbach（RO）；Hornbach.se（SE）；K-Rauta（FI）；Moyo（UA）；Netrauta.fi（FI）（促銷價：頁面現價 169.3、劃線原價 220.9（「us yli 200 € Postin noutopakettitilaukselle! Tuote」），採劃線原價（2026-10-22 表單））；OBI（HU）；OBI SK（SK）；eMAG.bg（BG）；eMAG.hu（HU）；Praxis（NL）；OBI Italia（IT）；ManoMano ES（ES）；Leroy Merlin IT（IT）；B&amp;Q（GB）；Castorama（FR）</t>
        </is>
      </c>
      <c r="O22" t="inlineStr">
        <is>
          <t>一般</t>
        </is>
      </c>
    </row>
    <row r="23">
      <c r="A23" t="inlineStr">
        <is>
          <t>TC-TS 2025/3 Eco</t>
        </is>
      </c>
      <c r="B23">
        <f>IMAGE("https://bilder.obi.de/f4b3a21b-4859-46ef-ba4a-4cffe2b5d52d/prZZD/image.jpeg")</f>
        <v/>
      </c>
      <c r="C23" t="inlineStr">
        <is>
          <t>OEM 品牌</t>
        </is>
      </c>
      <c r="D23" t="inlineStr">
        <is>
          <t>Einhell</t>
        </is>
      </c>
      <c r="E23" t="inlineStr">
        <is>
          <t>3.Floor</t>
        </is>
      </c>
      <c r="F23" t="inlineStr"/>
      <c r="G23" t="inlineStr">
        <is>
          <t>No</t>
        </is>
      </c>
      <c r="H23" t="n">
        <v>250</v>
      </c>
      <c r="I23" t="inlineStr">
        <is>
          <t>Ø222~267mm</t>
        </is>
      </c>
      <c r="J23" t="n">
        <v>2000</v>
      </c>
      <c r="K23" t="n">
        <v>5000</v>
      </c>
      <c r="L23" t="inlineStr">
        <is>
          <t>https://www.obi.de/p/9232133/einhell-tischkreissaege-tc-ts-2025-3-eco</t>
        </is>
      </c>
      <c r="M23" s="2" t="n">
        <v>139.98</v>
      </c>
      <c r="N23" t="inlineStr">
        <is>
          <t>OBI（DE）；OBI AT（AT）（促銷價：頁面現價 160.9、劃線原價 164.99（「Seite. 0 Bewertungen  Produktdatenblatt Art. Nr: 3」），採劃線原價（2026-10-22 表單））；Einhell webshop (einhell.de)（DE）（缺貨）；OBI（CZ）；OBI（HU）；eMAG.hu（HU）；ManoMano ES（ES）；OBI Italia（IT）；Leroy Merlin IT（IT）</t>
        </is>
      </c>
      <c r="O23" t="inlineStr">
        <is>
          <t>一般</t>
        </is>
      </c>
    </row>
    <row r="24">
      <c r="A24" t="inlineStr">
        <is>
          <t>TC-TS 2225 U</t>
        </is>
      </c>
      <c r="B24">
        <f>IMAGE("https://www.globus-baumarkt.de/media/c8/3f/55/1766821522/4006825641349_11132120.webp")</f>
        <v/>
      </c>
      <c r="C24" t="inlineStr">
        <is>
          <t>OEM 品牌</t>
        </is>
      </c>
      <c r="D24" t="inlineStr">
        <is>
          <t>Einhell</t>
        </is>
      </c>
      <c r="E24" t="inlineStr">
        <is>
          <t>3.Floor</t>
        </is>
      </c>
      <c r="F24" t="inlineStr">
        <is>
          <t>Single</t>
        </is>
      </c>
      <c r="G24" t="inlineStr">
        <is>
          <t>No</t>
        </is>
      </c>
      <c r="H24" t="n">
        <v>254</v>
      </c>
      <c r="I24" t="inlineStr">
        <is>
          <t>Ø222~267mm</t>
        </is>
      </c>
      <c r="J24" t="n">
        <v>1800</v>
      </c>
      <c r="K24" t="inlineStr">
        <is>
          <t>4250</t>
        </is>
      </c>
      <c r="L24" t="inlineStr">
        <is>
          <t>https://www.globus-baumarkt.de/p/einhell-tischkreissaege-tc-ts-2225-u-1800-w-4250-min-1-0761101783/</t>
        </is>
      </c>
      <c r="M24" s="2" t="n">
        <v>169</v>
      </c>
      <c r="N24" t="inlineStr">
        <is>
          <t>Globus Baumarkt（DE）；ManoMano.de（DE）；OBI（DE）（不採計：這頁沒有型號或刀徑原文；促銷價：頁面現價 169.99、劃線原價 179.99（「ertungen (82%) empfehlen dieses Produkt Art. Nr: 9」），採劃線原價（2026-10-22 表單））；Hornbach AT（AT）（只能到店／電話訂）；OBI AT（AT）（不採計：這頁沒有型號或刀徑原文）；Einhell webshop (einhell.de)（DE）；OBI.ch（CH）（不採計：這頁沒有型號或刀徑原文）；toom（DE）；Galaxus（CH）（不採計：這頁沒有型號或刀徑原文）；OTTO（DE）；MediaMarkt（DE）；Saturn（DE）；OBI（CZ）；Hornbach.se（SE）；Moyo（UA）（缺貨）；OBI（HU）（不採計：這頁沒有型號或刀徑原文）；OBI SK（SK）；eMAG.bg（BG）；eMAG.hu（HU）；Motonet（FI）；eMAG（RO）；Praxis（NL）（不採計：這頁刀徑原文前後矛盾）；Toolstation BE（BE）；OBI Italia（IT）（不採計：這頁沒有型號或刀徑原文）；Toolstation NL（NL）；El Corte Inglés（ES）（不採計：這頁沒有型號或刀徑原文；促銷價：頁面現價 196.0、劃線原價 245.0（「recio de venta por unidad 196 € Precio de venta 19」），採劃線原價（2026-10-22 表單））；Castorama（FR）（促銷價：頁面現價 277.61、劃線原價 306.95（「produits: 3.36 étoiles sur 5 sur 36 avis produits 」），採劃線原價（2026-10-22 表單））</t>
        </is>
      </c>
      <c r="O24" t="inlineStr">
        <is>
          <t>一般</t>
        </is>
      </c>
    </row>
    <row r="25">
      <c r="A25" t="inlineStr">
        <is>
          <t>TC-TS 254</t>
        </is>
      </c>
      <c r="B25">
        <f>IMAGE("https://cdn.manomano.com/pim-media/images/medium/2595f49e503074b0ac15507ef8278665e44f9646.jpg")</f>
        <v/>
      </c>
      <c r="C25" t="inlineStr">
        <is>
          <t>OEM 品牌</t>
        </is>
      </c>
      <c r="D25" t="inlineStr">
        <is>
          <t>Einhell</t>
        </is>
      </c>
      <c r="E25" t="inlineStr"/>
      <c r="F25" t="inlineStr"/>
      <c r="G25" t="inlineStr">
        <is>
          <t>No</t>
        </is>
      </c>
      <c r="H25" t="n">
        <v>254</v>
      </c>
      <c r="I25" t="inlineStr">
        <is>
          <t>Ø222~267mm</t>
        </is>
      </c>
      <c r="J25" t="inlineStr"/>
      <c r="K25" t="inlineStr"/>
      <c r="L25" t="inlineStr">
        <is>
          <t>https://www.manomano.de/p/einhell-tischkreissaege-tc-ts-254-eco-4340505-17808641</t>
        </is>
      </c>
      <c r="M25" s="2" t="n">
        <v>170.02</v>
      </c>
      <c r="N25" t="inlineStr">
        <is>
          <t>ManoMano.de（DE）</t>
        </is>
      </c>
      <c r="O25" t="inlineStr">
        <is>
          <t>一般</t>
        </is>
      </c>
    </row>
    <row r="26">
      <c r="A26" t="inlineStr">
        <is>
          <t>TC-TS 254 eco</t>
        </is>
      </c>
      <c r="B26">
        <f>IMAGE("https://s13emagst.akamaized.net/products/31962/31961444/images/res_dbf28bef972d9f5c957c4d2bcb1a98d0.jpg?width=450&amp;height=450&amp;hash=715EF41A5939D2C9FA126465666BD3D5")</f>
        <v/>
      </c>
      <c r="C26" t="inlineStr">
        <is>
          <t>OEM 品牌</t>
        </is>
      </c>
      <c r="D26" t="inlineStr">
        <is>
          <t>Einhell</t>
        </is>
      </c>
      <c r="E26" t="inlineStr">
        <is>
          <t>3.Floor</t>
        </is>
      </c>
      <c r="F26" t="inlineStr"/>
      <c r="G26" t="inlineStr">
        <is>
          <t>No</t>
        </is>
      </c>
      <c r="H26" t="n">
        <v>254</v>
      </c>
      <c r="I26" t="inlineStr">
        <is>
          <t>Ø222~267mm</t>
        </is>
      </c>
      <c r="J26" t="n">
        <v>1800</v>
      </c>
      <c r="K26" t="n">
        <v>4250</v>
      </c>
      <c r="L26" t="inlineStr">
        <is>
          <t>https://www.emag.hu/einhell-tc-ts-254-eco-asztali-korfuresz-2050-w-4250-fordulat-perc-254-mm-x-30-mm-fureszlap-4340505/pd/D0J5V3MBM/</t>
        </is>
      </c>
      <c r="M26" s="2" t="n">
        <v>220.31</v>
      </c>
      <c r="N26" t="inlineStr">
        <is>
          <t>eMAG.hu（HU）；Moyo（UA）（缺貨）；OBI（HU）（不採計：這頁沒有型號或刀徑原文）</t>
        </is>
      </c>
      <c r="O26" t="inlineStr">
        <is>
          <t>一般</t>
        </is>
      </c>
    </row>
    <row r="27">
      <c r="A27" t="inlineStr">
        <is>
          <t>TC-TS 254 U</t>
        </is>
      </c>
      <c r="B27">
        <f>IMAGE("https://cdn.manomano.com/pim-media/images/medium/5271645f286693a97bfe2ac92fd99036a13fb59e.jpg")</f>
        <v/>
      </c>
      <c r="C27" t="inlineStr">
        <is>
          <t>OEM 品牌</t>
        </is>
      </c>
      <c r="D27" t="inlineStr">
        <is>
          <t>Einhell</t>
        </is>
      </c>
      <c r="E27" t="inlineStr">
        <is>
          <t>3.Floor</t>
        </is>
      </c>
      <c r="F27" t="inlineStr">
        <is>
          <t>Single</t>
        </is>
      </c>
      <c r="G27" t="inlineStr">
        <is>
          <t>No</t>
        </is>
      </c>
      <c r="H27" t="n">
        <v>254</v>
      </c>
      <c r="I27" t="inlineStr">
        <is>
          <t>Ø222~267mm</t>
        </is>
      </c>
      <c r="J27" t="n">
        <v>2200</v>
      </c>
      <c r="K27" t="n">
        <v>4250</v>
      </c>
      <c r="L27" t="inlineStr">
        <is>
          <t>https://www.obi.de/p/6385413/einhell-tischkreissaege-tc-ts-254-u-2-200-w</t>
        </is>
      </c>
      <c r="M27" s="2" t="n">
        <v>149.99</v>
      </c>
      <c r="N27" t="inlineStr">
        <is>
          <t>OBI（DE）（只能到店／電話訂）；Globus Baumarkt（DE）（缺貨）；hagebau.at（AT）（不採計：這頁沒有型號或刀徑原文）；ManoMano.de（DE）；Bauhaus BG（BG）（不採計：這頁刀徑原文前後矛盾）；Bauhaus.fi（FI）；Bygghemma（SE）（缺貨）；Moyo（UA）；Skroutz（GR）；eMAG.bg（BG）；eMAG.hu（HU）；OBI Italia（IT）（缺貨）；MediaMarkt NL（NL）（不採計：這頁沒有型號或刀徑原文）</t>
        </is>
      </c>
      <c r="O27" t="inlineStr">
        <is>
          <t>一般</t>
        </is>
      </c>
    </row>
    <row r="28">
      <c r="A28" t="inlineStr">
        <is>
          <t>TE-CC 250 UF</t>
        </is>
      </c>
      <c r="B28">
        <f>IMAGE("https://www.globus-baumarkt.de/media/02/95/29/1767082710/4006825647518_11365663.webp")</f>
        <v/>
      </c>
      <c r="C28" t="inlineStr">
        <is>
          <t>OEM 品牌</t>
        </is>
      </c>
      <c r="D28" t="inlineStr">
        <is>
          <t>Einhell</t>
        </is>
      </c>
      <c r="E28" t="inlineStr">
        <is>
          <t>3.Floor</t>
        </is>
      </c>
      <c r="F28" t="inlineStr"/>
      <c r="G28" t="inlineStr">
        <is>
          <t>Sliding Table</t>
        </is>
      </c>
      <c r="H28" t="n">
        <v>250</v>
      </c>
      <c r="I28" t="inlineStr">
        <is>
          <t>Ø222~267mm</t>
        </is>
      </c>
      <c r="J28" t="n">
        <v>1500</v>
      </c>
      <c r="K28" t="n">
        <v>4500</v>
      </c>
      <c r="L28" t="inlineStr">
        <is>
          <t>https://www.globus-baumarkt.de/p/einhell-expert-tischkreissaege-te-cc-250-uf-klappbar-trolleyfunktion-0761101822/</t>
        </is>
      </c>
      <c r="M28" s="2" t="n">
        <v>259.99</v>
      </c>
      <c r="N28" t="inlineStr">
        <is>
          <t>Globus Baumarkt（DE）；OBI（DE）（只能到店／電話訂）；ManoMano.de（DE）；OBI AT（AT）（只能到店／電話訂）；Einhell webshop (einhell.de)（DE）（缺貨）；Castorama（FR）（不採計：這頁沒有型號或刀徑原文）</t>
        </is>
      </c>
      <c r="O28" t="inlineStr">
        <is>
          <t>一般</t>
        </is>
      </c>
    </row>
    <row r="29">
      <c r="A29" t="inlineStr">
        <is>
          <t>TE-TS 10 T</t>
        </is>
      </c>
      <c r="B29">
        <f>IMAGE("https://d2c5rvsfjg2eub.cloudfront.net/image/208244749100/image_65gel3sk2t0r98dm0u0619pl1s/-FJPG-FWEBP-B800")</f>
        <v/>
      </c>
      <c r="C29" t="inlineStr">
        <is>
          <t>OEM 品牌</t>
        </is>
      </c>
      <c r="D29" t="inlineStr">
        <is>
          <t>Einhell</t>
        </is>
      </c>
      <c r="E29" t="inlineStr"/>
      <c r="F29" t="inlineStr">
        <is>
          <t>Single</t>
        </is>
      </c>
      <c r="G29" t="inlineStr">
        <is>
          <t>No</t>
        </is>
      </c>
      <c r="H29" t="n">
        <v>254</v>
      </c>
      <c r="I29" t="inlineStr">
        <is>
          <t>Ø222~267mm</t>
        </is>
      </c>
      <c r="J29" t="n">
        <v>2000</v>
      </c>
      <c r="K29" t="n">
        <v>4700</v>
      </c>
      <c r="L29" t="inlineStr">
        <is>
          <t>https://www.toolstation.nl/einhell-te-ts-10-t-elektrische-zaagtafel/p92880</t>
        </is>
      </c>
      <c r="M29" s="2" t="n">
        <v>260.98</v>
      </c>
      <c r="N29" t="inlineStr">
        <is>
          <t>Toolstation NL（NL）；ManoMano.de（DE）；Bricozor（FR）；Einhell webshop (einhell.de)（DE）；OTTO（DE）；MediaMarkt（DE）（不採計：這頁沒有型號或刀徑原文）；Leroy Merlin IT（IT）；Castorama（FR）（促銷價：頁面現價 350.65、劃線原價 385.96（「is produits: 4.5 étoiles sur 5 sur 2 avis produits」），採劃線原價（2026-10-22 表單））</t>
        </is>
      </c>
      <c r="O29" t="inlineStr">
        <is>
          <t>一般</t>
        </is>
      </c>
    </row>
    <row r="30">
      <c r="A30" t="inlineStr">
        <is>
          <t>TE-TS 250 UF</t>
        </is>
      </c>
      <c r="B30">
        <f>IMAGE("https://media.hornbach.cz/hb/packshot/as.156656163.jpg?dvid=8")</f>
        <v/>
      </c>
      <c r="C30" t="inlineStr">
        <is>
          <t>OEM 品牌</t>
        </is>
      </c>
      <c r="D30" t="inlineStr">
        <is>
          <t>Einhell</t>
        </is>
      </c>
      <c r="E30" t="inlineStr">
        <is>
          <t>3.Floor</t>
        </is>
      </c>
      <c r="F30" t="inlineStr"/>
      <c r="G30" t="inlineStr">
        <is>
          <t>No</t>
        </is>
      </c>
      <c r="H30" t="n">
        <v>250</v>
      </c>
      <c r="I30" t="inlineStr">
        <is>
          <t>Ø222~267mm</t>
        </is>
      </c>
      <c r="J30" t="n">
        <v>2000</v>
      </c>
      <c r="K30" t="n">
        <v>4500</v>
      </c>
      <c r="L30" t="inlineStr">
        <is>
          <t>https://www.hornbach.cz/p/stolni-kotoucova-pila-einhell-te-ts-250-uf-4340568/12513900/</t>
        </is>
      </c>
      <c r="M30" s="2" t="n">
        <v>328.87</v>
      </c>
      <c r="N30" t="inlineStr">
        <is>
          <t>Hornbach（CZ）；Einhell webshop (einhell.fr)（FR）；ManoMano.fr（FR）；Skroutz（GR）</t>
        </is>
      </c>
      <c r="O30" t="inlineStr">
        <is>
          <t>一般</t>
        </is>
      </c>
    </row>
    <row r="31">
      <c r="A31" t="inlineStr">
        <is>
          <t>TE-TS 254 T</t>
        </is>
      </c>
      <c r="B31">
        <f>IMAGE("https://bilder.obi.de/eb422565-6b96-423f-99f8-43266104f30b/prZZD/image.jpeg")</f>
        <v/>
      </c>
      <c r="C31" t="inlineStr">
        <is>
          <t>OEM 品牌</t>
        </is>
      </c>
      <c r="D31" t="inlineStr">
        <is>
          <t>Einhell</t>
        </is>
      </c>
      <c r="E31" t="inlineStr"/>
      <c r="F31" t="inlineStr"/>
      <c r="G31" t="inlineStr">
        <is>
          <t>No</t>
        </is>
      </c>
      <c r="H31" t="n">
        <v>254</v>
      </c>
      <c r="I31" t="inlineStr">
        <is>
          <t>Ø222~267mm</t>
        </is>
      </c>
      <c r="J31" t="n">
        <v>2000</v>
      </c>
      <c r="K31" t="n">
        <v>4700</v>
      </c>
      <c r="L31" t="inlineStr">
        <is>
          <t>https://www.obi.de/p/8569600/einhell-tischkreissaege-te-ts-254-t</t>
        </is>
      </c>
      <c r="M31" s="2" t="n">
        <v>244.99</v>
      </c>
      <c r="N31" t="inlineStr">
        <is>
          <t>OBI（DE）（只能到店／電話訂）；hagebau.at（AT）（只能到店／電話訂）；toom（DE）（缺貨）；Skroutz（GR）；eMAG（RO）；eMAG.hu（HU）（缺貨）</t>
        </is>
      </c>
      <c r="O31" t="inlineStr">
        <is>
          <t>一般</t>
        </is>
      </c>
    </row>
    <row r="32">
      <c r="A32" t="inlineStr">
        <is>
          <t>TE-TS 36/10 T Li-Solo</t>
        </is>
      </c>
      <c r="B32">
        <f>IMAGE("https://cdn.manomano.com/pim-media/images/medium/c03db25a7013f530c8272fa38f8e02fe48e57973.jpg")</f>
        <v/>
      </c>
      <c r="C32" t="inlineStr">
        <is>
          <t>OEM 品牌</t>
        </is>
      </c>
      <c r="D32" t="inlineStr">
        <is>
          <t>Einhell</t>
        </is>
      </c>
      <c r="E32" t="inlineStr"/>
      <c r="F32" t="inlineStr">
        <is>
          <t>Single</t>
        </is>
      </c>
      <c r="G32" t="inlineStr">
        <is>
          <t>No</t>
        </is>
      </c>
      <c r="H32" t="n">
        <v>254</v>
      </c>
      <c r="I32" t="inlineStr">
        <is>
          <t>Ø222~267mm</t>
        </is>
      </c>
      <c r="J32" t="inlineStr"/>
      <c r="K32" t="n">
        <v>3800</v>
      </c>
      <c r="L32" t="inlineStr">
        <is>
          <t>https://www.otto.de/p/einhell-akku-tischkreissaege-te-ts-36-10-t-li-solo-ohne-akku-und-ladegeraet-C2083335256/</t>
        </is>
      </c>
      <c r="M32" s="2" t="n">
        <v>379.95</v>
      </c>
      <c r="N32" t="inlineStr">
        <is>
          <t>OTTO（DE）；ManoMano.de（DE）；Einhell webshop (einhell.de)（DE）；eMAG.hu（HU）</t>
        </is>
      </c>
      <c r="O32" t="inlineStr">
        <is>
          <t>一般</t>
        </is>
      </c>
    </row>
    <row r="33">
      <c r="A33" t="inlineStr">
        <is>
          <t>TP-CC 10 T</t>
        </is>
      </c>
      <c r="B33">
        <f>IMAGE("https://bilder.obi.at/e5153bc3-10f4-4d68-8d31-12c346cc1b66/prZZD/image.png")</f>
        <v/>
      </c>
      <c r="C33" t="inlineStr">
        <is>
          <t>OEM 品牌</t>
        </is>
      </c>
      <c r="D33" t="inlineStr">
        <is>
          <t>Einhell</t>
        </is>
      </c>
      <c r="E33" t="inlineStr"/>
      <c r="F33" t="inlineStr">
        <is>
          <t>Single</t>
        </is>
      </c>
      <c r="G33" t="inlineStr">
        <is>
          <t>Sliding Table</t>
        </is>
      </c>
      <c r="H33" t="n">
        <v>254</v>
      </c>
      <c r="I33" t="inlineStr">
        <is>
          <t>Ø222~267mm</t>
        </is>
      </c>
      <c r="J33" t="n">
        <v>2000</v>
      </c>
      <c r="K33" t="n">
        <v>4200</v>
      </c>
      <c r="L33" t="inlineStr">
        <is>
          <t>https://www.obi.at/p/2191179494832/einhell-tischkreissaege-tp-cc-10-t-schiebetisch-2-000-w-254-mm</t>
        </is>
      </c>
      <c r="M33" s="2" t="n">
        <v>469.95</v>
      </c>
      <c r="N33" t="inlineStr">
        <is>
          <t>OBI AT（AT）（只能到店／電話訂）；OBI（DE）（只能到店／電話訂）；hagebau（DE）（缺貨）；Hornbach AT（AT）（只能到店／電話訂）；Einhell webshop (einhell.de)（DE）（缺貨）；Galaxus（CH）（不採計：這頁沒有型號或刀徑原文）；Jumbo（CH）（缺貨）</t>
        </is>
      </c>
      <c r="O33" t="inlineStr">
        <is>
          <t>一般</t>
        </is>
      </c>
    </row>
    <row r="34">
      <c r="A34" t="inlineStr">
        <is>
          <t>ETS2000</t>
        </is>
      </c>
      <c r="B34">
        <f>IMAGE("https://media.castorama.fr/is/image/Castorama/scie-sur-table-erbauer-ets2000-2000w-254mm~5059340270029_01c?$MOB_PREV$&amp;$width=1200&amp;$height=1200")</f>
        <v/>
      </c>
      <c r="C34" t="inlineStr">
        <is>
          <t>零售品牌</t>
        </is>
      </c>
      <c r="D34" t="inlineStr">
        <is>
          <t>Erbauer</t>
        </is>
      </c>
      <c r="E34" t="inlineStr"/>
      <c r="F34" t="inlineStr">
        <is>
          <t>Single</t>
        </is>
      </c>
      <c r="G34" t="inlineStr">
        <is>
          <t>No</t>
        </is>
      </c>
      <c r="H34" t="n">
        <v>254</v>
      </c>
      <c r="I34" t="inlineStr">
        <is>
          <t>Ø222~267mm</t>
        </is>
      </c>
      <c r="J34" t="n">
        <v>2000</v>
      </c>
      <c r="K34" t="n">
        <v>4500</v>
      </c>
      <c r="L34" t="inlineStr">
        <is>
          <t>https://www.castorama.fr/scie-sur-table-erbauer-ets2000-2000w-254mm/5059340270074_CAFR.prd</t>
        </is>
      </c>
      <c r="M34" s="2" t="n">
        <v>319.9</v>
      </c>
      <c r="N34" t="inlineStr">
        <is>
          <t>Castorama（FR）</t>
        </is>
      </c>
      <c r="O34" t="inlineStr">
        <is>
          <t>一般</t>
        </is>
      </c>
    </row>
    <row r="35">
      <c r="A35" t="inlineStr">
        <is>
          <t>FURY5-S</t>
        </is>
      </c>
      <c r="B35">
        <f>IMAGE("https://media.diy.com/is/image/KingfisherDigital/evolution-056-0001a-fury5-s-plus-multi-purpose-table-saw-1500w-240v-evlfury5tspp~0849713096531_01c_MP?$MOB_PREV$&amp;$width=1200&amp;$height=1200")</f>
        <v/>
      </c>
      <c r="C35" t="inlineStr">
        <is>
          <t>零售品牌</t>
        </is>
      </c>
      <c r="D35" t="inlineStr">
        <is>
          <t>Evolution</t>
        </is>
      </c>
      <c r="E35" t="inlineStr">
        <is>
          <t>3.Floor</t>
        </is>
      </c>
      <c r="F35" t="inlineStr">
        <is>
          <t>Dual</t>
        </is>
      </c>
      <c r="G35" t="inlineStr">
        <is>
          <t>No</t>
        </is>
      </c>
      <c r="H35" t="n">
        <v>255</v>
      </c>
      <c r="I35" t="inlineStr">
        <is>
          <t>Ø222~267mm</t>
        </is>
      </c>
      <c r="J35" t="n">
        <v>1500</v>
      </c>
      <c r="K35" t="n">
        <v>3250</v>
      </c>
      <c r="L35" t="inlineStr">
        <is>
          <t>https://www.diy.com/departments/evolution-056-0001a-fury5-s-plus-multi-purpose-table-saw-1500w-240v-evlfury5tspp/0849713096531_BQ.prd</t>
        </is>
      </c>
      <c r="M35" s="2" t="n">
        <v>284.88</v>
      </c>
      <c r="N35" t="inlineStr">
        <is>
          <t>B&amp;Q（GB）；Evolution webshop (de-shop.evolutionpowertools.com)（DE）（缺貨）；Skroutz（GR）（跨境出貨（從 Βουλγαρία 出貨））</t>
        </is>
      </c>
      <c r="O35" t="inlineStr">
        <is>
          <t>一般</t>
        </is>
      </c>
    </row>
    <row r="36">
      <c r="A36" t="inlineStr">
        <is>
          <t>R255MTS</t>
        </is>
      </c>
      <c r="B36">
        <f>IMAGE("https://evolutionpowertools.it/cdn/shop/files/r255mts-255mm-table-saw-230v-165851_1200x1186.jpg?v=1780386324")</f>
        <v/>
      </c>
      <c r="C36" t="inlineStr">
        <is>
          <t>零售品牌</t>
        </is>
      </c>
      <c r="D36" t="inlineStr">
        <is>
          <t>Evolution</t>
        </is>
      </c>
      <c r="E36" t="inlineStr"/>
      <c r="F36" t="inlineStr">
        <is>
          <t>Single</t>
        </is>
      </c>
      <c r="G36" t="inlineStr">
        <is>
          <t>No</t>
        </is>
      </c>
      <c r="H36" t="n">
        <v>255</v>
      </c>
      <c r="I36" t="inlineStr">
        <is>
          <t>Ø222~267mm</t>
        </is>
      </c>
      <c r="J36" t="n">
        <v>1300</v>
      </c>
      <c r="K36" t="n">
        <v>3250</v>
      </c>
      <c r="L36" t="inlineStr">
        <is>
          <t>https://evolutionpowertools.it/products/banco-sega-evolution-r255mts-con-lama-tct-multi-materiale-da-255-mm?_pos=5&amp;_sid=41f00e778&amp;_ss=r</t>
        </is>
      </c>
      <c r="M36" s="2" t="n">
        <v>199.95</v>
      </c>
      <c r="N36" t="inlineStr">
        <is>
          <t>Evolution Power Tools IT（IT）；Evolution webshop (de-shop.evolutionpowertools.com)（DE）；B&amp;Q（GB）</t>
        </is>
      </c>
      <c r="O36" t="inlineStr">
        <is>
          <t>一般</t>
        </is>
      </c>
    </row>
    <row r="37">
      <c r="A37" t="inlineStr">
        <is>
          <t>R255PTS</t>
        </is>
      </c>
      <c r="B37">
        <f>IMAGE("https://media.screwfix.ie/is/image/ae235/205JP_P")</f>
        <v/>
      </c>
      <c r="C37" t="inlineStr">
        <is>
          <t>零售品牌</t>
        </is>
      </c>
      <c r="D37" t="inlineStr">
        <is>
          <t>Evolution</t>
        </is>
      </c>
      <c r="E37" t="inlineStr"/>
      <c r="F37" t="inlineStr"/>
      <c r="G37" t="inlineStr">
        <is>
          <t>Sliding Table</t>
        </is>
      </c>
      <c r="H37" t="n">
        <v>255</v>
      </c>
      <c r="I37" t="inlineStr">
        <is>
          <t>Ø222~267mm</t>
        </is>
      </c>
      <c r="J37" t="inlineStr"/>
      <c r="K37" t="inlineStr"/>
      <c r="L37" t="inlineStr">
        <is>
          <t>https://www.screwfix.ie/p/evolution-r255pts-255mm-electric-table-saw-230v/205jp</t>
        </is>
      </c>
      <c r="M37" s="2" t="n">
        <v>364.95</v>
      </c>
      <c r="N37" t="inlineStr">
        <is>
          <t>Screwfix.ie（IE）</t>
        </is>
      </c>
      <c r="O37" t="inlineStr">
        <is>
          <t>一般</t>
        </is>
      </c>
    </row>
    <row r="38">
      <c r="A38" t="inlineStr">
        <is>
          <t>R255TBL</t>
        </is>
      </c>
      <c r="B38">
        <f>IMAGE("https://evolutionpowertools.it/cdn/shop/files/R255TBL-P1new2_1200x1200.jpg?v=1771408023")</f>
        <v/>
      </c>
      <c r="C38" t="inlineStr">
        <is>
          <t>零售品牌</t>
        </is>
      </c>
      <c r="D38" t="inlineStr">
        <is>
          <t>Evolution</t>
        </is>
      </c>
      <c r="E38" t="inlineStr">
        <is>
          <t>1.Table Top</t>
        </is>
      </c>
      <c r="F38" t="inlineStr">
        <is>
          <t>Single</t>
        </is>
      </c>
      <c r="G38" t="inlineStr">
        <is>
          <t>No</t>
        </is>
      </c>
      <c r="H38" t="n">
        <v>255</v>
      </c>
      <c r="I38" t="inlineStr">
        <is>
          <t>Ø222~267mm</t>
        </is>
      </c>
      <c r="J38" t="n">
        <v>1650</v>
      </c>
      <c r="K38" t="n">
        <v>2500</v>
      </c>
      <c r="L38" t="inlineStr">
        <is>
          <t>https://evolutionpowertools.it/products/banco-sega-evolution-r255tbl-1650w-con-lama-da-255mm-multi-materiale-tct?_pos=10&amp;_sid=41f00e778&amp;_ss=r</t>
        </is>
      </c>
      <c r="M38" s="2" t="n">
        <v>369.95</v>
      </c>
      <c r="N38" t="inlineStr">
        <is>
          <t>Evolution Power Tools IT（IT）；Toolstation（GB）；Evolution webshop (de-shop.evolutionpowertools.com)（DE）；ManoMano.co.uk（GB）；eBay.de（DE）（跨境出貨（從 GB 出貨））；eBay.at（AT）（跨境出貨（從 GB 出貨））；Skroutz（GR）（跨境出貨（從 Βουλγαρία 出貨））；B&amp;Q（GB）；Screwfix.ie（IE）</t>
        </is>
      </c>
      <c r="O38" t="inlineStr">
        <is>
          <t>一般</t>
        </is>
      </c>
    </row>
    <row r="39">
      <c r="A39" t="inlineStr">
        <is>
          <t>R255TBLX</t>
        </is>
      </c>
      <c r="B39">
        <f>IMAGE("https://d2fb1ew6v6wv87.cloudfront.net/products/10415205/s01/1400x1400/origin.webp")</f>
        <v/>
      </c>
      <c r="C39" t="inlineStr">
        <is>
          <t>零售品牌</t>
        </is>
      </c>
      <c r="D39" t="inlineStr">
        <is>
          <t>Evolution</t>
        </is>
      </c>
      <c r="E39" t="inlineStr">
        <is>
          <t>3.Floor</t>
        </is>
      </c>
      <c r="F39" t="inlineStr"/>
      <c r="G39" t="inlineStr">
        <is>
          <t>Sliding Table</t>
        </is>
      </c>
      <c r="H39" t="n">
        <v>255</v>
      </c>
      <c r="I39" t="inlineStr">
        <is>
          <t>Ø222~267mm</t>
        </is>
      </c>
      <c r="J39" t="n">
        <v>1650</v>
      </c>
      <c r="K39" t="n">
        <v>3050</v>
      </c>
      <c r="L39" t="inlineStr">
        <is>
          <t>https://www.praxis.nl/gereedschap-werkplaats/elektrisch-gereedschap/zaagmachines/zaagtafels/evolution-tafelzaag-r255tblx-1650w-gesnoerd/10415205</t>
        </is>
      </c>
      <c r="M39" s="2" t="n">
        <v>399</v>
      </c>
      <c r="N39" t="inlineStr">
        <is>
          <t>Praxis（NL）（促銷價：頁面現價 319.2、劃線原價 399.0（「dig verwijderen met 4 bouten Toon specificaties  2」），採劃線原價（2026-10-22 表單））；Toolstation（GB）（促銷價：頁面現價 369.99、劃線原價 419.99（「ds 2 Delivery details Collection details ★★★★★ ★★★」），採劃線原價（2026-10-22 表單））；Skroutz（GR）；B&amp;Q（GB）</t>
        </is>
      </c>
      <c r="O39" t="inlineStr">
        <is>
          <t>一般</t>
        </is>
      </c>
    </row>
    <row r="40">
      <c r="A40" t="inlineStr">
        <is>
          <t>30961</t>
        </is>
      </c>
      <c r="B40">
        <f>IMAGE("https://wowtools.2dimg.com/25/a01931d2-e77a-46e1-869c-a30374c4c719_16dee2c1cc.jpg")</f>
        <v/>
      </c>
      <c r="C40" t="inlineStr">
        <is>
          <t>零售品牌</t>
        </is>
      </c>
      <c r="D40" t="inlineStr">
        <is>
          <t>Excel</t>
        </is>
      </c>
      <c r="E40" t="inlineStr"/>
      <c r="F40" t="inlineStr"/>
      <c r="G40" t="inlineStr">
        <is>
          <t>No</t>
        </is>
      </c>
      <c r="H40" t="n">
        <v>254</v>
      </c>
      <c r="I40" t="inlineStr">
        <is>
          <t>Ø222~267mm</t>
        </is>
      </c>
      <c r="J40" t="n">
        <v>1800</v>
      </c>
      <c r="K40" t="n">
        <v>4200</v>
      </c>
      <c r="L40" t="inlineStr">
        <is>
          <t>https://www.wowtools.co.uk/power-tools/saws/table-saws/excel-30961-254mm-portable-table-saw-240v-1800w.htm</t>
        </is>
      </c>
      <c r="M40" s="2" t="n">
        <v>231.02</v>
      </c>
      <c r="N40" t="inlineStr">
        <is>
          <t>WowTools（GB）</t>
        </is>
      </c>
      <c r="O40" t="inlineStr">
        <is>
          <t>一般</t>
        </is>
      </c>
    </row>
    <row r="41">
      <c r="A41" t="inlineStr">
        <is>
          <t>32141</t>
        </is>
      </c>
      <c r="B41">
        <f>IMAGE("https://wowtools.2dimg.com/25/ca9c02ef-c940-4a29-8aa4-59e0d2d3f87e_0b6b964f21.jpg")</f>
        <v/>
      </c>
      <c r="C41" t="inlineStr">
        <is>
          <t>零售品牌</t>
        </is>
      </c>
      <c r="D41" t="inlineStr">
        <is>
          <t>Excel</t>
        </is>
      </c>
      <c r="E41" t="inlineStr"/>
      <c r="F41" t="inlineStr"/>
      <c r="G41" t="inlineStr">
        <is>
          <t>No</t>
        </is>
      </c>
      <c r="H41" t="n">
        <v>254</v>
      </c>
      <c r="I41" t="inlineStr">
        <is>
          <t>Ø222~267mm</t>
        </is>
      </c>
      <c r="J41" t="inlineStr"/>
      <c r="K41" t="n">
        <v>4200</v>
      </c>
      <c r="L41" t="inlineStr">
        <is>
          <t>https://www.wowtools.co.uk/power-tools/saws/table-saws/excel-32141-254mm-extendable-table-saw-240v-1800w.htm</t>
        </is>
      </c>
      <c r="M41" s="2" t="n">
        <v>207.32</v>
      </c>
      <c r="N41" t="inlineStr">
        <is>
          <t>WowTools（GB）</t>
        </is>
      </c>
      <c r="O41" t="inlineStr">
        <is>
          <t>一般</t>
        </is>
      </c>
    </row>
    <row r="42">
      <c r="A42" t="inlineStr">
        <is>
          <t>6293</t>
        </is>
      </c>
      <c r="B42">
        <f>IMAGE("https://wowtools.2dimg.com/25/c9212514-eeb2-4a61-9c75-ca206ed67f3e_34c3cc802f.jpg")</f>
        <v/>
      </c>
      <c r="C42" t="inlineStr">
        <is>
          <t>零售品牌</t>
        </is>
      </c>
      <c r="D42" t="inlineStr">
        <is>
          <t>Excel</t>
        </is>
      </c>
      <c r="E42" t="inlineStr">
        <is>
          <t>3.Floor</t>
        </is>
      </c>
      <c r="F42" t="inlineStr"/>
      <c r="G42" t="inlineStr">
        <is>
          <t>No</t>
        </is>
      </c>
      <c r="H42" t="n">
        <v>250</v>
      </c>
      <c r="I42" t="inlineStr">
        <is>
          <t>Ø222~267mm</t>
        </is>
      </c>
      <c r="J42" t="n">
        <v>1800</v>
      </c>
      <c r="K42" t="n">
        <v>5000</v>
      </c>
      <c r="L42" t="inlineStr">
        <is>
          <t>https://www.wowtools.co.uk/power-tools/saws/table-saws/excel-6293-250mm-table-saw-240v-1800w-with-legstand-side-extensions-blade.htm</t>
        </is>
      </c>
      <c r="M42" s="2" t="n">
        <v>117.26</v>
      </c>
      <c r="N42" t="inlineStr">
        <is>
          <t>WowTools（GB）</t>
        </is>
      </c>
      <c r="O42" t="inlineStr">
        <is>
          <t>一般</t>
        </is>
      </c>
    </row>
    <row r="43">
      <c r="A43" t="inlineStr">
        <is>
          <t>TS2501</t>
        </is>
      </c>
      <c r="B43">
        <f>IMAGE("https://media.diy.com/is/image/KingfisherDigital/excel-250mm-table-saw-1800w-heavy-duty-240v-with-leg-stand-blade-guard-side-extensions-for-diy-trade-use~0743031863304_01c_MP?$MOB_PREV$&amp;$width=1200&amp;$height=1200")</f>
        <v/>
      </c>
      <c r="C43" t="inlineStr">
        <is>
          <t>零售品牌</t>
        </is>
      </c>
      <c r="D43" t="inlineStr">
        <is>
          <t>Excel</t>
        </is>
      </c>
      <c r="E43" t="inlineStr">
        <is>
          <t>3.Floor</t>
        </is>
      </c>
      <c r="F43" t="inlineStr">
        <is>
          <t>Single</t>
        </is>
      </c>
      <c r="G43" t="inlineStr">
        <is>
          <t>No</t>
        </is>
      </c>
      <c r="H43" t="n">
        <v>250</v>
      </c>
      <c r="I43" t="inlineStr">
        <is>
          <t>Ø222~267mm</t>
        </is>
      </c>
      <c r="J43" t="n">
        <v>1800</v>
      </c>
      <c r="K43" t="n">
        <v>5000</v>
      </c>
      <c r="L43" t="inlineStr">
        <is>
          <t>https://www.diy.com/departments/excel-250mm-table-saw-1800w-heavy-duty-240v-with-leg-stand-blade-guard-side-extensions-for-diy-trade-use/0743031863304_BQ.prd</t>
        </is>
      </c>
      <c r="M43" s="2" t="n">
        <v>148.12</v>
      </c>
      <c r="N43" t="inlineStr">
        <is>
          <t>B&amp;Q（GB）</t>
        </is>
      </c>
      <c r="O43" t="inlineStr">
        <is>
          <t>一般</t>
        </is>
      </c>
    </row>
    <row r="44">
      <c r="A44" t="inlineStr">
        <is>
          <t>TS 1800B</t>
        </is>
      </c>
      <c r="B44">
        <f>IMAGE("https://cdn.manomano.com/pim-media/images/medium/f0ce453ba3baf4fa943112fdf528c8241e49eb91.jpg")</f>
        <v/>
      </c>
      <c r="C44" t="inlineStr">
        <is>
          <t>零售品牌</t>
        </is>
      </c>
      <c r="D44" t="inlineStr">
        <is>
          <t>Fartools</t>
        </is>
      </c>
      <c r="E44" t="inlineStr"/>
      <c r="F44" t="inlineStr"/>
      <c r="G44" t="inlineStr">
        <is>
          <t>No</t>
        </is>
      </c>
      <c r="H44" t="n">
        <v>250</v>
      </c>
      <c r="I44" t="inlineStr">
        <is>
          <t>Ø222~267mm</t>
        </is>
      </c>
      <c r="J44" t="inlineStr"/>
      <c r="K44" t="inlineStr"/>
      <c r="L44" t="inlineStr">
        <is>
          <t>https://www.manomano.de/p/fartools-tischsge-1600-w-250-mm-ts-1800b-42468660</t>
        </is>
      </c>
      <c r="M44" s="2" t="n">
        <v>364.44</v>
      </c>
      <c r="N44" t="inlineStr">
        <is>
          <t>ManoMano.de（DE）</t>
        </is>
      </c>
      <c r="O44" t="inlineStr">
        <is>
          <t>一般</t>
        </is>
      </c>
    </row>
    <row r="45">
      <c r="A45" t="inlineStr">
        <is>
          <t>TS 1800C</t>
        </is>
      </c>
      <c r="B45">
        <f>IMAGE("https://media.castorama.fr/is/image/Castorama/scie-de-table-1600w-ts-1800c-250x30mm-36-dents-fartools-113399~3431541133990_01c_MP?$MOB_PREV$&amp;$width=1200&amp;$height=1200")</f>
        <v/>
      </c>
      <c r="C45" t="inlineStr">
        <is>
          <t>零售品牌</t>
        </is>
      </c>
      <c r="D45" t="inlineStr">
        <is>
          <t>Fartools</t>
        </is>
      </c>
      <c r="E45" t="inlineStr">
        <is>
          <t>3.Floor</t>
        </is>
      </c>
      <c r="F45" t="inlineStr">
        <is>
          <t>Single</t>
        </is>
      </c>
      <c r="G45" t="inlineStr">
        <is>
          <t>No</t>
        </is>
      </c>
      <c r="H45" t="n">
        <v>250</v>
      </c>
      <c r="I45" t="inlineStr">
        <is>
          <t>Ø222~267mm</t>
        </is>
      </c>
      <c r="J45" t="inlineStr"/>
      <c r="K45" t="n">
        <v>4800</v>
      </c>
      <c r="L45" t="inlineStr">
        <is>
          <t>https://www.castorama.fr/mkp/scie-de-table-1600w-ts-1800c-250x30mm-36-dents-fartools-113399/3431541133990_CAFR.prd</t>
        </is>
      </c>
      <c r="M45" s="2" t="n">
        <v>239.9</v>
      </c>
      <c r="N45" t="inlineStr">
        <is>
          <t>Castorama（FR）</t>
        </is>
      </c>
      <c r="O45" t="inlineStr">
        <is>
          <t>一般</t>
        </is>
      </c>
    </row>
    <row r="46">
      <c r="A46" t="inlineStr">
        <is>
          <t>8450025</t>
        </is>
      </c>
      <c r="B46">
        <f>IMAGE("https://media.adeo.com/mkp/aa3de64b16d83f2446d8fd90f9159e33/media.jpg")</f>
        <v/>
      </c>
      <c r="C46" t="inlineStr">
        <is>
          <t>OEM 品牌</t>
        </is>
      </c>
      <c r="D46" t="inlineStr">
        <is>
          <t>Femi</t>
        </is>
      </c>
      <c r="E46" t="inlineStr"/>
      <c r="F46" t="inlineStr"/>
      <c r="G46" t="inlineStr">
        <is>
          <t>No</t>
        </is>
      </c>
      <c r="H46" t="n">
        <v>254</v>
      </c>
      <c r="I46" t="inlineStr">
        <is>
          <t>Ø222~267mm</t>
        </is>
      </c>
      <c r="J46" t="n">
        <v>1800</v>
      </c>
      <c r="K46" t="n">
        <v>5700</v>
      </c>
      <c r="L46" t="inlineStr">
        <is>
          <t>https://www.leroymerlin.it/prodotti/femi-8450025-banco-sega-elettrico-per-legno-1800-watt-48x64-cm-universale-83088828.html</t>
        </is>
      </c>
      <c r="M46" s="2" t="n">
        <v>220.43</v>
      </c>
      <c r="N46" t="inlineStr">
        <is>
          <t>Leroy Merlin IT（IT）</t>
        </is>
      </c>
      <c r="O46" t="inlineStr">
        <is>
          <t>一般</t>
        </is>
      </c>
    </row>
    <row r="47">
      <c r="A47" t="inlineStr">
        <is>
          <t>TSM1033</t>
        </is>
      </c>
      <c r="B47">
        <f>IMAGE("https://d2fb1ew6v6wv87.cloudfront.net/products/5514581/s00/1400x1400/origin.webp")</f>
        <v/>
      </c>
      <c r="C47" t="inlineStr">
        <is>
          <t>零售品牌</t>
        </is>
      </c>
      <c r="D47" t="inlineStr">
        <is>
          <t>Ferm</t>
        </is>
      </c>
      <c r="E47" t="inlineStr">
        <is>
          <t>3.Floor</t>
        </is>
      </c>
      <c r="F47" t="inlineStr"/>
      <c r="G47" t="inlineStr">
        <is>
          <t>No</t>
        </is>
      </c>
      <c r="H47" t="n">
        <v>250</v>
      </c>
      <c r="I47" t="inlineStr">
        <is>
          <t>Ø222~267mm</t>
        </is>
      </c>
      <c r="J47" t="n">
        <v>1800</v>
      </c>
      <c r="K47" t="n">
        <v>4700</v>
      </c>
      <c r="L47" t="inlineStr">
        <is>
          <t>https://www.praxis.nl/gereedschap-werkplaats/elektrisch-gereedschap/zaagmachines/zaagtafels/ferm-zaagtafel-250mm-t40-1800w/5514581</t>
        </is>
      </c>
      <c r="M47" s="2" t="n">
        <v>159.95</v>
      </c>
      <c r="N47" t="inlineStr">
        <is>
          <t>Praxis（NL）；ManoMano.de（DE）；ManoMano ES（ES）</t>
        </is>
      </c>
      <c r="O47" t="inlineStr">
        <is>
          <t>一般</t>
        </is>
      </c>
    </row>
    <row r="48">
      <c r="A48" t="inlineStr">
        <is>
          <t>TKS 80 EBS</t>
        </is>
      </c>
      <c r="B48">
        <f>IMAGE("https://cdn.manomano.com/pim-media/images/medium/60ee20f7dc89150447b95d93c538b7d6a6575c4a.jpg")</f>
        <v/>
      </c>
      <c r="C48" t="inlineStr">
        <is>
          <t>OEM 品牌</t>
        </is>
      </c>
      <c r="D48" t="inlineStr">
        <is>
          <t>Festool</t>
        </is>
      </c>
      <c r="E48" t="inlineStr">
        <is>
          <t>3.Floor</t>
        </is>
      </c>
      <c r="F48" t="inlineStr">
        <is>
          <t>Single</t>
        </is>
      </c>
      <c r="G48" t="inlineStr">
        <is>
          <t>Sliding Table</t>
        </is>
      </c>
      <c r="H48" t="n">
        <v>254</v>
      </c>
      <c r="I48" t="inlineStr">
        <is>
          <t>Ø222~267mm</t>
        </is>
      </c>
      <c r="J48" t="n">
        <v>2200</v>
      </c>
      <c r="K48" t="inlineStr">
        <is>
          <t>1700-3500</t>
        </is>
      </c>
      <c r="L48" t="inlineStr">
        <is>
          <t>https://www.manomano.de/p/festool-tischkreissaege-tks-80-ebs-set-575828-18063287?model_id=17803396</t>
        </is>
      </c>
      <c r="M48" s="2" t="n">
        <v>2169.99</v>
      </c>
      <c r="N48" t="inlineStr">
        <is>
          <t>ManoMano.de（DE）；Sautershop（DE）（促銷價：頁面現價 2367.93、劃線原價 2416.25（「be shipped by freight carrier Sale price:  €2,367.」），採劃線原價（2026-10-22 表單））；Brack.ch（CH）；Festool catalog（DE）</t>
        </is>
      </c>
      <c r="O48" t="inlineStr">
        <is>
          <t>一般</t>
        </is>
      </c>
    </row>
    <row r="49">
      <c r="A49" t="inlineStr">
        <is>
          <t>502137541</t>
        </is>
      </c>
      <c r="B49">
        <f>IMAGE("https://public.keskofiles.com/f/btt/ASSET_JPEG_24766563?auto=format&amp;bg=fff&amp;dpr=1.0000000149011612&amp;fit=fill&amp;h=558&amp;q=80&amp;w=558")</f>
        <v/>
      </c>
      <c r="C49" t="inlineStr">
        <is>
          <t>零售品牌</t>
        </is>
      </c>
      <c r="D49" t="inlineStr">
        <is>
          <t>FXA</t>
        </is>
      </c>
      <c r="E49" t="inlineStr">
        <is>
          <t>3.Floor</t>
        </is>
      </c>
      <c r="F49" t="inlineStr"/>
      <c r="G49" t="inlineStr">
        <is>
          <t>No</t>
        </is>
      </c>
      <c r="H49" t="n">
        <v>250</v>
      </c>
      <c r="I49" t="inlineStr">
        <is>
          <t>Ø222~267mm</t>
        </is>
      </c>
      <c r="J49" t="n">
        <v>1800</v>
      </c>
      <c r="K49" t="n">
        <v>5000</v>
      </c>
      <c r="L49" t="inlineStr">
        <is>
          <t>https://www.k-rauta.fi/tuote/poytasaha-fxa-1800w-250mm/6438313565468</t>
        </is>
      </c>
      <c r="M49" s="2" t="n">
        <v>179</v>
      </c>
      <c r="N49" t="inlineStr">
        <is>
          <t>K-Rauta（FI）</t>
        </is>
      </c>
      <c r="O49" t="inlineStr">
        <is>
          <t>一般</t>
        </is>
      </c>
    </row>
    <row r="50">
      <c r="A50" t="inlineStr">
        <is>
          <t>GTK 2000 A</t>
        </is>
      </c>
      <c r="B50">
        <f>IMAGE("https://cdn.manomano.com/pim-media/images/medium/00006cd02f5e98e0abdada7152ff41aab1dff755.jpg")</f>
        <v/>
      </c>
      <c r="C50" t="inlineStr">
        <is>
          <t>零售品牌</t>
        </is>
      </c>
      <c r="D50" t="inlineStr">
        <is>
          <t>Güde</t>
        </is>
      </c>
      <c r="E50" t="inlineStr">
        <is>
          <t>3.Floor</t>
        </is>
      </c>
      <c r="F50" t="inlineStr"/>
      <c r="G50" t="inlineStr">
        <is>
          <t>No</t>
        </is>
      </c>
      <c r="H50" t="n">
        <v>250</v>
      </c>
      <c r="I50" t="inlineStr">
        <is>
          <t>Ø222~267mm</t>
        </is>
      </c>
      <c r="J50" t="n">
        <v>2000</v>
      </c>
      <c r="K50" t="n">
        <v>4800</v>
      </c>
      <c r="L50" t="inlineStr">
        <is>
          <t>https://www.manomano.de/p/gde-tischkreissge-gtk-2000-a-55605-32678415</t>
        </is>
      </c>
      <c r="M50" s="2" t="n">
        <v>169.96</v>
      </c>
      <c r="N50" t="inlineStr">
        <is>
          <t>ManoMano.de（DE）</t>
        </is>
      </c>
      <c r="O50" t="inlineStr">
        <is>
          <t>一般</t>
        </is>
      </c>
    </row>
    <row r="51">
      <c r="A51" t="inlineStr">
        <is>
          <t>GTK 2000.1</t>
        </is>
      </c>
      <c r="B51">
        <f>IMAGE("https://cdn.manomano.com/pim-media/images/medium/3882ce352b34341c9488877acec809275cb582c8.jpg")</f>
        <v/>
      </c>
      <c r="C51" t="inlineStr">
        <is>
          <t>零售品牌</t>
        </is>
      </c>
      <c r="D51" t="inlineStr">
        <is>
          <t>Güde</t>
        </is>
      </c>
      <c r="E51" t="inlineStr">
        <is>
          <t>3.Floor</t>
        </is>
      </c>
      <c r="F51" t="inlineStr"/>
      <c r="G51" t="inlineStr">
        <is>
          <t>No</t>
        </is>
      </c>
      <c r="H51" t="n">
        <v>250</v>
      </c>
      <c r="I51" t="inlineStr">
        <is>
          <t>Ø222~267mm</t>
        </is>
      </c>
      <c r="J51" t="n">
        <v>2000</v>
      </c>
      <c r="K51" t="n">
        <v>4250</v>
      </c>
      <c r="L51" t="inlineStr">
        <is>
          <t>https://www.manomano.de/p/gde-tischkreissge-gtk-20001-55262-32678402</t>
        </is>
      </c>
      <c r="M51" s="2" t="n">
        <v>136.97</v>
      </c>
      <c r="N51" t="inlineStr">
        <is>
          <t>ManoMano.de（DE）；OTTO（DE）（缺貨）；Praxis（NL）</t>
        </is>
      </c>
      <c r="O51" t="inlineStr">
        <is>
          <t>一般</t>
        </is>
      </c>
    </row>
    <row r="52">
      <c r="A52" t="inlineStr">
        <is>
          <t>ZB-255A</t>
        </is>
      </c>
      <c r="B52">
        <f>IMAGE("https://image03.idefix.com/resize/1129/0/product/4580968/hais-zb-255a-tezgah-testere-2000-watt-671b9f90d5a29.jpg")</f>
        <v/>
      </c>
      <c r="C52" t="inlineStr">
        <is>
          <t>零售品牌</t>
        </is>
      </c>
      <c r="D52" t="inlineStr">
        <is>
          <t>Hais</t>
        </is>
      </c>
      <c r="E52" t="inlineStr"/>
      <c r="F52" t="inlineStr"/>
      <c r="G52" t="inlineStr">
        <is>
          <t>No</t>
        </is>
      </c>
      <c r="H52" t="n">
        <v>254</v>
      </c>
      <c r="I52" t="inlineStr">
        <is>
          <t>Ø222~267mm</t>
        </is>
      </c>
      <c r="J52" t="inlineStr"/>
      <c r="K52" t="n">
        <v>5000</v>
      </c>
      <c r="L52" t="inlineStr">
        <is>
          <t>https://www.idefix.com/hais-zb-255a-tezgah-testere-2000-watt-p-4580968</t>
        </is>
      </c>
      <c r="M52" s="2" t="n">
        <v>243.75</v>
      </c>
      <c r="N52" t="inlineStr">
        <is>
          <t>idefix（TR）</t>
        </is>
      </c>
      <c r="O52" t="inlineStr">
        <is>
          <t>一般</t>
        </is>
      </c>
    </row>
    <row r="53">
      <c r="A53" t="inlineStr">
        <is>
          <t>HECHT 8254</t>
        </is>
      </c>
      <c r="B53">
        <f>IMAGE("https://i00.eu/img/563/1600x1600/ad4ewh40/29268.jpg")</f>
        <v/>
      </c>
      <c r="C53" t="inlineStr">
        <is>
          <t>零售品牌</t>
        </is>
      </c>
      <c r="D53" t="inlineStr">
        <is>
          <t>Hecht</t>
        </is>
      </c>
      <c r="E53" t="inlineStr">
        <is>
          <t>3.Floor</t>
        </is>
      </c>
      <c r="F53" t="inlineStr"/>
      <c r="G53" t="inlineStr">
        <is>
          <t>No</t>
        </is>
      </c>
      <c r="H53" t="n">
        <v>254</v>
      </c>
      <c r="I53" t="inlineStr">
        <is>
          <t>Ø222~267mm</t>
        </is>
      </c>
      <c r="J53" t="n">
        <v>2000</v>
      </c>
      <c r="K53" t="n">
        <v>4800</v>
      </c>
      <c r="L53" t="inlineStr">
        <is>
          <t>https://cz.hecht.cz/stolni-kotoucova-pila-hecht-8254-334701</t>
        </is>
      </c>
      <c r="M53" s="2" t="n">
        <v>143.49</v>
      </c>
      <c r="N53" t="inlineStr">
        <is>
          <t>Hecht (brand webshop)（CZ）；OTTO（DE）</t>
        </is>
      </c>
      <c r="O53" t="inlineStr">
        <is>
          <t>一般</t>
        </is>
      </c>
    </row>
    <row r="54">
      <c r="A54" t="inlineStr">
        <is>
          <t>C10RJWAZ</t>
        </is>
      </c>
      <c r="B54">
        <f>IMAGE("https://www.bauhaus.cz/img/600/744/resize/catalog/product/3/4/347357_p_img.webp")</f>
        <v/>
      </c>
      <c r="C54" t="inlineStr">
        <is>
          <t>OEM 品牌</t>
        </is>
      </c>
      <c r="D54" t="inlineStr">
        <is>
          <t>HiKOKI</t>
        </is>
      </c>
      <c r="E54" t="inlineStr">
        <is>
          <t>3.Floor</t>
        </is>
      </c>
      <c r="F54" t="inlineStr">
        <is>
          <t>Single</t>
        </is>
      </c>
      <c r="G54" t="inlineStr">
        <is>
          <t>No</t>
        </is>
      </c>
      <c r="H54" t="n">
        <v>255</v>
      </c>
      <c r="I54" t="inlineStr">
        <is>
          <t>Ø222~267mm</t>
        </is>
      </c>
      <c r="J54" t="n">
        <v>1500</v>
      </c>
      <c r="K54" t="n">
        <v>4500</v>
      </c>
      <c r="L54" t="inlineStr">
        <is>
          <t>https://www.bauhaus.cz/hikoki-okruzni-pila-c10rjwaz-32158425</t>
        </is>
      </c>
      <c r="M54" s="2" t="n">
        <v>431.24</v>
      </c>
      <c r="N54" t="inlineStr">
        <is>
          <t>Bauhaus（CZ）；ManoMano.de（DE）；Hornbach（DE）；Skroutz（GR）；Toolstation BE（BE）；Toolstation NL（NL）；Castorama（FR）</t>
        </is>
      </c>
      <c r="O54" t="inlineStr">
        <is>
          <t>一般</t>
        </is>
      </c>
    </row>
    <row r="55">
      <c r="A55" t="inlineStr">
        <is>
          <t>TK255</t>
        </is>
      </c>
      <c r="B55">
        <f>IMAGE("https://media.hornbach.de/hb/packshot/as.138959588.jpg?dvid=8")</f>
        <v/>
      </c>
      <c r="C55" t="inlineStr">
        <is>
          <t>零售品牌</t>
        </is>
      </c>
      <c r="D55" t="inlineStr">
        <is>
          <t>Holzmann</t>
        </is>
      </c>
      <c r="E55" t="inlineStr">
        <is>
          <t>3.Floor</t>
        </is>
      </c>
      <c r="F55" t="inlineStr"/>
      <c r="G55" t="inlineStr">
        <is>
          <t>No</t>
        </is>
      </c>
      <c r="H55" t="n">
        <v>254</v>
      </c>
      <c r="I55" t="inlineStr">
        <is>
          <t>Ø222~267mm</t>
        </is>
      </c>
      <c r="J55" t="n">
        <v>1800</v>
      </c>
      <c r="K55" t="n">
        <v>4800</v>
      </c>
      <c r="L55" t="inlineStr">
        <is>
          <t>https://www.hornbach.de/p/tischkreissaege-holzmann-tk255-inkl-untergestell-und-saegeblatt/6791495/</t>
        </is>
      </c>
      <c r="M55" s="2" t="n">
        <v>309</v>
      </c>
      <c r="N55" t="inlineStr">
        <is>
          <t>Hornbach（DE）；Hornbach AT（AT）；Holzmann webshop (holzmann-maschinen.at)（AT）；ManoMano.de（DE）；Ferramentas.pt（PT）（促銷價：頁面現價 408.35、劃線原價 552.27（「erra de mesa HOLZMANN TK255_230V Special Price 408」），採劃線原價（2026-10-22 表單））；Hornbach.se（SE）；ManoMano ES（ES）</t>
        </is>
      </c>
      <c r="O55" t="inlineStr">
        <is>
          <t>一般</t>
        </is>
      </c>
    </row>
    <row r="56">
      <c r="A56" t="inlineStr">
        <is>
          <t>TS250</t>
        </is>
      </c>
      <c r="B56">
        <f>IMAGE("https://bilder.obi.de/9c6b3965-6fc0-4245-86d8-d7b993dfaa3c/prZZD/image.jpeg")</f>
        <v/>
      </c>
      <c r="C56" t="inlineStr">
        <is>
          <t>零售品牌</t>
        </is>
      </c>
      <c r="D56" t="inlineStr">
        <is>
          <t>Holzmann</t>
        </is>
      </c>
      <c r="E56" t="inlineStr"/>
      <c r="F56" t="inlineStr"/>
      <c r="G56" t="inlineStr">
        <is>
          <t>Sliding Table</t>
        </is>
      </c>
      <c r="H56" t="n">
        <v>254</v>
      </c>
      <c r="I56" t="inlineStr">
        <is>
          <t>Ø222~267mm</t>
        </is>
      </c>
      <c r="J56" t="n">
        <v>3100</v>
      </c>
      <c r="K56" t="n">
        <v>4000</v>
      </c>
      <c r="L56" t="inlineStr">
        <is>
          <t>https://www.obi.de/p/1094358/holzmann-tischkreissaege-ts250-mit-400-v-3-100-w</t>
        </is>
      </c>
      <c r="M56" s="2" t="n">
        <v>872.78</v>
      </c>
      <c r="N56" t="inlineStr">
        <is>
          <t>OBI（DE）；hagebau.at（AT）；Holzmann webshop (holzmann-maschinen.at)（AT）；Bricozor（FR）；ManoMano.de（DE）；Ferramentas.pt（PT）（促銷價：頁面現價 1198.08、劃線原價 1899.0（「200W Ø254mm Holzmann TS250_230V Special Price 1198」），採劃線原價（2026-10-22 表單））；B&amp;Q（GB）</t>
        </is>
      </c>
      <c r="O56" t="inlineStr">
        <is>
          <t>工坊級</t>
        </is>
      </c>
    </row>
    <row r="57">
      <c r="A57" t="inlineStr">
        <is>
          <t>TS250F</t>
        </is>
      </c>
      <c r="B57">
        <f>IMAGE("https://media.hornbach.de/hb/packshot/as.46658755.jpg?dvid=8")</f>
        <v/>
      </c>
      <c r="C57" t="inlineStr">
        <is>
          <t>零售品牌</t>
        </is>
      </c>
      <c r="D57" t="inlineStr">
        <is>
          <t>Holzmann</t>
        </is>
      </c>
      <c r="E57" t="inlineStr"/>
      <c r="F57" t="inlineStr"/>
      <c r="G57" t="inlineStr">
        <is>
          <t>No</t>
        </is>
      </c>
      <c r="H57" t="n">
        <v>250</v>
      </c>
      <c r="I57" t="inlineStr">
        <is>
          <t>Ø222~267mm</t>
        </is>
      </c>
      <c r="J57" t="n">
        <v>2900</v>
      </c>
      <c r="K57" t="n">
        <v>4000</v>
      </c>
      <c r="L57" t="inlineStr">
        <is>
          <t>https://www.hornbach.de/p/praezisionskreissaege-holzmann-maschinen-ts250f-230-v/5608444/</t>
        </is>
      </c>
      <c r="M57" s="2" t="n">
        <v>1858.95</v>
      </c>
      <c r="N57" t="inlineStr">
        <is>
          <t>Hornbach（DE）；Hornbach AT（AT）</t>
        </is>
      </c>
      <c r="O57" t="inlineStr">
        <is>
          <t>一般</t>
        </is>
      </c>
    </row>
    <row r="58">
      <c r="A58" t="inlineStr">
        <is>
          <t>TKS 254 E</t>
        </is>
      </c>
      <c r="B58">
        <f>IMAGE("https://cdn.manomano.com/pim-media/images/medium/1e7b8a486c14a429e35a49f4e698b884c1c2d880.jpg")</f>
        <v/>
      </c>
      <c r="C58" t="inlineStr">
        <is>
          <t>OEM 品牌</t>
        </is>
      </c>
      <c r="D58" t="inlineStr">
        <is>
          <t>Holzstar</t>
        </is>
      </c>
      <c r="E58" t="inlineStr">
        <is>
          <t>3.Floor</t>
        </is>
      </c>
      <c r="F58" t="inlineStr">
        <is>
          <t>Single</t>
        </is>
      </c>
      <c r="G58" t="inlineStr">
        <is>
          <t>Sliding Table</t>
        </is>
      </c>
      <c r="H58" t="n">
        <v>254</v>
      </c>
      <c r="I58" t="inlineStr">
        <is>
          <t>Ø222~267mm</t>
        </is>
      </c>
      <c r="J58" t="n">
        <v>1500</v>
      </c>
      <c r="K58" t="n">
        <v>4500</v>
      </c>
      <c r="L58" t="inlineStr">
        <is>
          <t>https://www.manomano.de/p/holzstar-tischkreissge-tks-254-e-400-v-5902026-45633442</t>
        </is>
      </c>
      <c r="M58" s="2" t="n">
        <v>1065.97</v>
      </c>
      <c r="N58" t="inlineStr">
        <is>
          <t>ManoMano.de（DE）</t>
        </is>
      </c>
      <c r="O58" t="inlineStr">
        <is>
          <t>工坊級</t>
        </is>
      </c>
    </row>
    <row r="59">
      <c r="A59" t="inlineStr">
        <is>
          <t>TKS 254 PRO</t>
        </is>
      </c>
      <c r="B59">
        <f>IMAGE("https://cdn.manomano.com/pim-media/images/medium/e79cd6132f40ebd2d09f3e97ef24314d70ada019.jpg")</f>
        <v/>
      </c>
      <c r="C59" t="inlineStr">
        <is>
          <t>OEM 品牌</t>
        </is>
      </c>
      <c r="D59" t="inlineStr">
        <is>
          <t>Holzstar</t>
        </is>
      </c>
      <c r="E59" t="inlineStr">
        <is>
          <t>3.Floor</t>
        </is>
      </c>
      <c r="F59" t="inlineStr">
        <is>
          <t>Single</t>
        </is>
      </c>
      <c r="G59" t="inlineStr">
        <is>
          <t>Sliding Table</t>
        </is>
      </c>
      <c r="H59" t="n">
        <v>254</v>
      </c>
      <c r="I59" t="inlineStr">
        <is>
          <t>Ø222~267mm</t>
        </is>
      </c>
      <c r="J59" t="n">
        <v>2100</v>
      </c>
      <c r="K59" t="n">
        <v>4000</v>
      </c>
      <c r="L59" t="inlineStr">
        <is>
          <t>https://www.manomano.de/p/holzstar-tischkreissaege-tks-254-pro-400v-5902028-11429603?model_id=11429603</t>
        </is>
      </c>
      <c r="M59" s="2" t="n">
        <v>1266.46</v>
      </c>
      <c r="N59" t="inlineStr">
        <is>
          <t>ManoMano.de（DE）；Galaxus（CH）（不採計：這頁沒有型號或刀徑原文）；ManoMano ES（ES）</t>
        </is>
      </c>
      <c r="O59" t="inlineStr">
        <is>
          <t>工坊級</t>
        </is>
      </c>
    </row>
    <row r="60">
      <c r="A60" t="inlineStr">
        <is>
          <t>TKS 256 M</t>
        </is>
      </c>
      <c r="B60">
        <f>IMAGE("https://cdn.manomano.com/pim-media/images/medium/dfbab018c2a560b86f612c73857b808ff8be22da.jpg")</f>
        <v/>
      </c>
      <c r="C60" t="inlineStr">
        <is>
          <t>OEM 品牌</t>
        </is>
      </c>
      <c r="D60" t="inlineStr">
        <is>
          <t>Holzstar</t>
        </is>
      </c>
      <c r="E60" t="inlineStr"/>
      <c r="F60" t="inlineStr"/>
      <c r="G60" t="inlineStr">
        <is>
          <t>Sliding Table</t>
        </is>
      </c>
      <c r="H60" t="n">
        <v>255</v>
      </c>
      <c r="I60" t="inlineStr">
        <is>
          <t>Ø222~267mm</t>
        </is>
      </c>
      <c r="J60" t="n">
        <v>1800</v>
      </c>
      <c r="K60" t="n">
        <v>6000</v>
      </c>
      <c r="L60" t="inlineStr">
        <is>
          <t>https://www.manomano.de/p/holzstar-tischkreissage-tks-256-m-251698293</t>
        </is>
      </c>
      <c r="M60" s="2" t="n">
        <v>500.45</v>
      </c>
      <c r="N60" t="inlineStr">
        <is>
          <t>ManoMano.de（DE）；Galaxus（CH）（不採計：這頁沒有型號或刀徑原文）</t>
        </is>
      </c>
      <c r="O60" t="inlineStr">
        <is>
          <t>一般</t>
        </is>
      </c>
    </row>
    <row r="61">
      <c r="A61" t="inlineStr">
        <is>
          <t>56372</t>
        </is>
      </c>
      <c r="B61">
        <f>IMAGE("https://static.gamma.nl/dam/499828/123")</f>
        <v/>
      </c>
      <c r="C61" t="inlineStr">
        <is>
          <t>零售品牌</t>
        </is>
      </c>
      <c r="D61" t="inlineStr">
        <is>
          <t>Hyundai</t>
        </is>
      </c>
      <c r="E61" t="inlineStr">
        <is>
          <t>3.Floor</t>
        </is>
      </c>
      <c r="F61" t="inlineStr"/>
      <c r="G61" t="inlineStr">
        <is>
          <t>No</t>
        </is>
      </c>
      <c r="H61" t="n">
        <v>250</v>
      </c>
      <c r="I61" t="inlineStr">
        <is>
          <t>Ø222~267mm</t>
        </is>
      </c>
      <c r="J61" t="n">
        <v>1500</v>
      </c>
      <c r="K61" t="n">
        <v>4700</v>
      </c>
      <c r="L61" t="inlineStr">
        <is>
          <t>https://www.gamma.nl/assortiment/hyundai-zaagtafel-1500w-250mm-24t/p/B207110</t>
        </is>
      </c>
      <c r="M61" s="2" t="n">
        <v>188</v>
      </c>
      <c r="N61" t="inlineStr">
        <is>
          <t>GAMMA（NL）</t>
        </is>
      </c>
      <c r="O61" t="inlineStr">
        <is>
          <t>一般</t>
        </is>
      </c>
    </row>
    <row r="62">
      <c r="A62" t="inlineStr">
        <is>
          <t>HYD-254B</t>
        </is>
      </c>
      <c r="B62">
        <f>IMAGE("https://bilder.obi.hu/046d0aa0-4837-4376-90ef-0a6801c1eb27/prZZL/image.jpg")</f>
        <v/>
      </c>
      <c r="C62" t="inlineStr">
        <is>
          <t>零售品牌</t>
        </is>
      </c>
      <c r="D62" t="inlineStr">
        <is>
          <t>Hyundai</t>
        </is>
      </c>
      <c r="E62" t="inlineStr">
        <is>
          <t>3.Floor</t>
        </is>
      </c>
      <c r="F62" t="inlineStr"/>
      <c r="G62" t="inlineStr">
        <is>
          <t>No</t>
        </is>
      </c>
      <c r="H62" t="n">
        <v>254</v>
      </c>
      <c r="I62" t="inlineStr">
        <is>
          <t>Ø222~267mm</t>
        </is>
      </c>
      <c r="J62" t="n">
        <v>1600</v>
      </c>
      <c r="K62" t="n">
        <v>4800</v>
      </c>
      <c r="L62" t="inlineStr">
        <is>
          <t>https://www.obi.hu/asztali-koerfureszek/hyundai-hyd-254b-asztali-koerfuresz/p/4003679</t>
        </is>
      </c>
      <c r="M62" s="2" t="n">
        <v>231.33</v>
      </c>
      <c r="N62" t="inlineStr">
        <is>
          <t>OBI（HU）</t>
        </is>
      </c>
      <c r="O62" t="inlineStr">
        <is>
          <t>一般</t>
        </is>
      </c>
    </row>
    <row r="63">
      <c r="A63" t="inlineStr">
        <is>
          <t>HYTS1800E</t>
        </is>
      </c>
      <c r="B63">
        <f>IMAGE("https://www.sitebox.ltd.uk/prodimages/Hyundai/medium/107056-1.jpg")</f>
        <v/>
      </c>
      <c r="C63" t="inlineStr">
        <is>
          <t>零售品牌</t>
        </is>
      </c>
      <c r="D63" t="inlineStr">
        <is>
          <t>Hyundai</t>
        </is>
      </c>
      <c r="E63" t="inlineStr"/>
      <c r="F63" t="inlineStr">
        <is>
          <t>Single</t>
        </is>
      </c>
      <c r="G63" t="inlineStr">
        <is>
          <t>No</t>
        </is>
      </c>
      <c r="H63" t="n">
        <v>250</v>
      </c>
      <c r="I63" t="inlineStr">
        <is>
          <t>Ø222~267mm</t>
        </is>
      </c>
      <c r="J63" t="n">
        <v>1800</v>
      </c>
      <c r="K63" t="n">
        <v>5000</v>
      </c>
      <c r="L63" t="inlineStr">
        <is>
          <t>https://www.sitebox.ltd.uk/hyundai-hyts1800e-1800w-10-30mm-electric-table-saw-230v-hyts1800e-oHYTS1800E</t>
        </is>
      </c>
      <c r="M63" s="2" t="n">
        <v>161.88</v>
      </c>
      <c r="N63" t="inlineStr">
        <is>
          <t>Sitebox（GB）；B&amp;Q（GB）</t>
        </is>
      </c>
      <c r="O63" t="inlineStr">
        <is>
          <t>一般</t>
        </is>
      </c>
    </row>
    <row r="64">
      <c r="A64" t="inlineStr">
        <is>
          <t>JTS 600X-T</t>
        </is>
      </c>
      <c r="B64">
        <f>IMAGE("https://cdn.manomano.com/pim-media/images/medium/aa4aa4497177075b9672545655df0e0526b7c856.jpg")</f>
        <v/>
      </c>
      <c r="C64" t="inlineStr">
        <is>
          <t>OEM 品牌</t>
        </is>
      </c>
      <c r="D64" t="inlineStr">
        <is>
          <t>JET</t>
        </is>
      </c>
      <c r="E64" t="inlineStr"/>
      <c r="F64" t="inlineStr"/>
      <c r="G64" t="inlineStr">
        <is>
          <t>No</t>
        </is>
      </c>
      <c r="H64" t="n">
        <v>250</v>
      </c>
      <c r="I64" t="inlineStr">
        <is>
          <t>Ø222~267mm</t>
        </is>
      </c>
      <c r="J64" t="n">
        <v>2800</v>
      </c>
      <c r="K64" t="inlineStr"/>
      <c r="L64" t="inlineStr">
        <is>
          <t>https://www.manomano.de/p/kreissaege-400v-28kw-jet-jts-600x-t-36624586</t>
        </is>
      </c>
      <c r="M64" s="2" t="n">
        <v>3066.96</v>
      </c>
      <c r="N64" t="inlineStr">
        <is>
          <t>ManoMano.de（DE）</t>
        </is>
      </c>
      <c r="O64" t="inlineStr">
        <is>
          <t>一般</t>
        </is>
      </c>
    </row>
    <row r="65">
      <c r="A65" t="inlineStr">
        <is>
          <t>F1 Fusion</t>
        </is>
      </c>
      <c r="B65">
        <f>IMAGE("https://cdn.axminstertools.com/media/catalog/product/cache/178130bff8f35812b0f00b2e75c662fd/1/1/111785_xl.jpg")</f>
        <v/>
      </c>
      <c r="C65" t="inlineStr">
        <is>
          <t>OEM 品牌</t>
        </is>
      </c>
      <c r="D65" t="inlineStr">
        <is>
          <t>Laguna</t>
        </is>
      </c>
      <c r="E65" t="inlineStr">
        <is>
          <t>3.Floor</t>
        </is>
      </c>
      <c r="F65" t="inlineStr"/>
      <c r="G65" t="inlineStr">
        <is>
          <t>No</t>
        </is>
      </c>
      <c r="H65" t="n">
        <v>250</v>
      </c>
      <c r="I65" t="inlineStr">
        <is>
          <t>Ø222~267mm</t>
        </is>
      </c>
      <c r="J65" t="n">
        <v>1450</v>
      </c>
      <c r="K65" t="n">
        <v>3800</v>
      </c>
      <c r="L65" t="inlineStr">
        <is>
          <t>https://www.axminstertools.com/laguna-f1-fusion-table-saw-230v-ax1064332</t>
        </is>
      </c>
      <c r="M65" s="2" t="n">
        <v>1362.78</v>
      </c>
      <c r="N65" t="inlineStr">
        <is>
          <t>Axminster Tools（GB）</t>
        </is>
      </c>
      <c r="O65" t="inlineStr">
        <is>
          <t>工坊級</t>
        </is>
      </c>
    </row>
    <row r="66">
      <c r="A66" t="inlineStr">
        <is>
          <t>SST256</t>
        </is>
      </c>
      <c r="B66">
        <f>IMAGE("https://cdn.manomano.com/pim-media/images/medium/214f7238a8b15f41f5df80ce0c2448ea3348e92b.jpg")</f>
        <v/>
      </c>
      <c r="C66" t="inlineStr">
        <is>
          <t>零售品牌</t>
        </is>
      </c>
      <c r="D66" t="inlineStr">
        <is>
          <t>Leman</t>
        </is>
      </c>
      <c r="E66" t="inlineStr"/>
      <c r="F66" t="inlineStr">
        <is>
          <t>Single</t>
        </is>
      </c>
      <c r="G66" t="inlineStr">
        <is>
          <t>Sliding Table</t>
        </is>
      </c>
      <c r="H66" t="n">
        <v>255</v>
      </c>
      <c r="I66" t="inlineStr">
        <is>
          <t>Ø222~267mm</t>
        </is>
      </c>
      <c r="J66" t="n">
        <v>2100</v>
      </c>
      <c r="K66" t="n">
        <v>4060</v>
      </c>
      <c r="L66" t="inlineStr">
        <is>
          <t>https://www.manomano.fr/p/scie-sur-table-avec-chariot-255-mm-1224004</t>
        </is>
      </c>
      <c r="M66" s="2" t="n">
        <v>2043.78</v>
      </c>
      <c r="N66" t="inlineStr">
        <is>
          <t>ManoMano.fr（FR）；Bricozor（FR）</t>
        </is>
      </c>
      <c r="O66" t="inlineStr">
        <is>
          <t>工坊級</t>
        </is>
      </c>
    </row>
    <row r="67">
      <c r="A67" t="inlineStr">
        <is>
          <t>TS1800</t>
        </is>
      </c>
      <c r="B67">
        <f>IMAGE("https://www.lumberjacktools.co.uk/images/productphotos/large/TS1800MAIN-1.jpg")</f>
        <v/>
      </c>
      <c r="C67" t="inlineStr">
        <is>
          <t>零售品牌</t>
        </is>
      </c>
      <c r="D67" t="inlineStr">
        <is>
          <t>Lumberjack</t>
        </is>
      </c>
      <c r="E67" t="inlineStr">
        <is>
          <t>3.Floor</t>
        </is>
      </c>
      <c r="F67" t="inlineStr">
        <is>
          <t>Single</t>
        </is>
      </c>
      <c r="G67" t="inlineStr">
        <is>
          <t>No</t>
        </is>
      </c>
      <c r="H67" t="n">
        <v>254</v>
      </c>
      <c r="I67" t="inlineStr">
        <is>
          <t>Ø222~267mm</t>
        </is>
      </c>
      <c r="J67" t="n">
        <v>1800</v>
      </c>
      <c r="K67" t="n">
        <v>4200</v>
      </c>
      <c r="L67" t="inlineStr">
        <is>
          <t>https://www.lumberjacktools.co.uk/table-saws/lumberjack-pro-series-10-cast-iron-table-saw-wheel-kit-1800w/p-lum00205</t>
        </is>
      </c>
      <c r="M67" s="2" t="n">
        <v>1303.54</v>
      </c>
      <c r="N67" t="inlineStr">
        <is>
          <t>Lumberjack Tools（GB）；B&amp;Q（GB）</t>
        </is>
      </c>
      <c r="O67" t="inlineStr">
        <is>
          <t>工坊級</t>
        </is>
      </c>
    </row>
    <row r="68">
      <c r="A68" t="inlineStr">
        <is>
          <t>TS1800C</t>
        </is>
      </c>
      <c r="B68">
        <f>IMAGE("https://media.diy.com/is/image/KingfisherDigital/lumberjack-cast-iron-table-saw-10-pro-series-with-wheel-kit-1800w-induction-motor~5060504005524_01c_MP?$MOB_PREV$&amp;$width=1200&amp;$height=1200")</f>
        <v/>
      </c>
      <c r="C68" t="inlineStr">
        <is>
          <t>零售品牌</t>
        </is>
      </c>
      <c r="D68" t="inlineStr">
        <is>
          <t>Lumberjack</t>
        </is>
      </c>
      <c r="E68" t="inlineStr">
        <is>
          <t>3.Floor</t>
        </is>
      </c>
      <c r="F68" t="inlineStr">
        <is>
          <t>Single</t>
        </is>
      </c>
      <c r="G68" t="inlineStr">
        <is>
          <t>No</t>
        </is>
      </c>
      <c r="H68" t="n">
        <v>254</v>
      </c>
      <c r="I68" t="inlineStr">
        <is>
          <t>Ø222~267mm</t>
        </is>
      </c>
      <c r="J68" t="n">
        <v>1800</v>
      </c>
      <c r="K68" t="n">
        <v>4200</v>
      </c>
      <c r="L68" t="inlineStr">
        <is>
          <t>https://www.diy.com/departments/lumberjack-cast-iron-table-saw-10-pro-series-with-wheel-kit-1800w-induction-motor/5060504005524_BQ.prd</t>
        </is>
      </c>
      <c r="M68" s="2" t="n">
        <v>1540.55</v>
      </c>
      <c r="N68" t="inlineStr">
        <is>
          <t>B&amp;Q（GB）；Lumberjack Tools（GB）</t>
        </is>
      </c>
      <c r="O68" t="inlineStr">
        <is>
          <t>工坊級</t>
        </is>
      </c>
    </row>
    <row r="69">
      <c r="A69" t="inlineStr">
        <is>
          <t>TS254JS</t>
        </is>
      </c>
      <c r="B69">
        <f>IMAGE("https://www.lumberjacktools.co.uk/images/productphotos/large/TS254JSAI-1.jpg")</f>
        <v/>
      </c>
      <c r="C69" t="inlineStr">
        <is>
          <t>零售品牌</t>
        </is>
      </c>
      <c r="D69" t="inlineStr">
        <is>
          <t>Lumberjack</t>
        </is>
      </c>
      <c r="E69" t="inlineStr"/>
      <c r="F69" t="inlineStr">
        <is>
          <t>Single</t>
        </is>
      </c>
      <c r="G69" t="inlineStr">
        <is>
          <t>No</t>
        </is>
      </c>
      <c r="H69" t="n">
        <v>254</v>
      </c>
      <c r="I69" t="inlineStr">
        <is>
          <t>Ø222~267mm</t>
        </is>
      </c>
      <c r="J69" t="n">
        <v>2000</v>
      </c>
      <c r="K69" t="n">
        <v>4800</v>
      </c>
      <c r="L69" t="inlineStr">
        <is>
          <t>https://www.lumberjacktools.co.uk/table-saws/lumberjack-10-portable-table-saw-compact-for-jobsite-use-2000w-230v/p-lum00173</t>
        </is>
      </c>
      <c r="M69" s="2" t="n">
        <v>201.45</v>
      </c>
      <c r="N69" t="inlineStr">
        <is>
          <t>Lumberjack Tools（GB）；B&amp;Q（GB）</t>
        </is>
      </c>
      <c r="O69" t="inlineStr">
        <is>
          <t>一般</t>
        </is>
      </c>
    </row>
    <row r="70">
      <c r="A70" t="inlineStr">
        <is>
          <t>TS254SW</t>
        </is>
      </c>
      <c r="B70">
        <f>IMAGE("https://www.lumberjacktools.co.uk/images/productphotos/large/TS254SWAI-1.jpg")</f>
        <v/>
      </c>
      <c r="C70" t="inlineStr">
        <is>
          <t>零售品牌</t>
        </is>
      </c>
      <c r="D70" t="inlineStr">
        <is>
          <t>Lumberjack</t>
        </is>
      </c>
      <c r="E70" t="inlineStr">
        <is>
          <t>3.Floor</t>
        </is>
      </c>
      <c r="F70" t="inlineStr">
        <is>
          <t>Single</t>
        </is>
      </c>
      <c r="G70" t="inlineStr">
        <is>
          <t>No</t>
        </is>
      </c>
      <c r="H70" t="n">
        <v>255</v>
      </c>
      <c r="I70" t="inlineStr">
        <is>
          <t>Ø222~267mm</t>
        </is>
      </c>
      <c r="J70" t="n">
        <v>1800</v>
      </c>
      <c r="K70" t="n">
        <v>4800</v>
      </c>
      <c r="L70" t="inlineStr">
        <is>
          <t>https://www.lumberjacktools.co.uk/table-saws/lumberjack-10-portable-folding-table-saw-trade-site-work-horse/p-lum00119</t>
        </is>
      </c>
      <c r="M70" s="2" t="n">
        <v>237</v>
      </c>
      <c r="N70" t="inlineStr">
        <is>
          <t>Lumberjack Tools（GB）；B&amp;Q（GB）</t>
        </is>
      </c>
      <c r="O70" t="inlineStr">
        <is>
          <t>一般</t>
        </is>
      </c>
    </row>
    <row r="71">
      <c r="A71" t="inlineStr">
        <is>
          <t>MSTS1500-B</t>
        </is>
      </c>
      <c r="B71">
        <f>IMAGE("https://media.castorama.fr/is/image/Castorama/scie-sur-table-mac-allister-254-mm-1500w~5059340270050_01c?$MOB_PREV$&amp;$width=1200&amp;$height=1200")</f>
        <v/>
      </c>
      <c r="C71" t="inlineStr">
        <is>
          <t>零售品牌</t>
        </is>
      </c>
      <c r="D71" t="inlineStr">
        <is>
          <t>Mac Allister</t>
        </is>
      </c>
      <c r="E71" t="inlineStr">
        <is>
          <t>3.Floor</t>
        </is>
      </c>
      <c r="F71" t="inlineStr">
        <is>
          <t>Single</t>
        </is>
      </c>
      <c r="G71" t="inlineStr">
        <is>
          <t>No</t>
        </is>
      </c>
      <c r="H71" t="n">
        <v>254</v>
      </c>
      <c r="I71" t="inlineStr">
        <is>
          <t>Ø222~267mm</t>
        </is>
      </c>
      <c r="J71" t="n">
        <v>1500</v>
      </c>
      <c r="K71" t="n">
        <v>4200</v>
      </c>
      <c r="L71" t="inlineStr">
        <is>
          <t>https://www.castorama.fr/scie-sur-table-mac-allister-254-mm-1500w/5059340270050_CAFR.prd</t>
        </is>
      </c>
      <c r="M71" s="2" t="n">
        <v>149.9</v>
      </c>
      <c r="N71" t="inlineStr">
        <is>
          <t>Castorama（FR）；B&amp;Q（GB）</t>
        </is>
      </c>
      <c r="O71" t="inlineStr">
        <is>
          <t>一般</t>
        </is>
      </c>
    </row>
    <row r="72">
      <c r="A72" t="inlineStr">
        <is>
          <t>2704N</t>
        </is>
      </c>
      <c r="B72">
        <f>IMAGE("https://media.hornbach.at/hb/packshot/as.47136863.jpg?dvid=8")</f>
        <v/>
      </c>
      <c r="C72" t="inlineStr">
        <is>
          <t>OEM 品牌</t>
        </is>
      </c>
      <c r="D72" t="inlineStr">
        <is>
          <t>Makita</t>
        </is>
      </c>
      <c r="E72" t="inlineStr">
        <is>
          <t>3.Floor</t>
        </is>
      </c>
      <c r="F72" t="inlineStr">
        <is>
          <t>Single</t>
        </is>
      </c>
      <c r="G72" t="inlineStr">
        <is>
          <t>No</t>
        </is>
      </c>
      <c r="H72" t="n">
        <v>260</v>
      </c>
      <c r="I72" t="inlineStr">
        <is>
          <t>Ø222~267mm</t>
        </is>
      </c>
      <c r="J72" t="n">
        <v>1650</v>
      </c>
      <c r="K72" t="n">
        <v>4600</v>
      </c>
      <c r="L72" t="inlineStr">
        <is>
          <t>https://www.howetools.co.uk/makita-2704n-110v-table-saw-260mm-blade</t>
        </is>
      </c>
      <c r="M72" s="2" t="n">
        <v>958.7</v>
      </c>
      <c r="N72" t="inlineStr">
        <is>
          <t>Howe Tools（GB）（跨境出貨（從 UK 出貨））；ManoMano.de（DE）；Hornbach AT（AT）（只能到店／電話訂）；OBI（DE）（只能到店／電話訂）；eBay.de（DE）（不採計：這頁沒有型號或刀徑原文）；MediaMarkt（DE）；Ferramentas.pt（PT）（促銷價：頁面現價 1059.01、劃線原價 2033.19（「gens Serra de Mesa Makita 2704N Special Price 1059」），採劃線原價（2026-10-22 表單））；K-Rauta（FI）；Netrauta.fi（FI）；Toolstation BE（BE）（不採計：這頁刀徑原文前後矛盾）；Toolstation NL（NL）（不採計：這頁刀徑原文前後矛盾）；Wickes（GB）（不採計：這頁刀徑原文前後矛盾）；Castorama（FR）（促銷價：頁面現價 1086.47、劃線原價 1457.39（「t: 0 étoiles sur 5 à partir de 0 évaluation du pro」），採劃線原價（2026-10-22 表單））</t>
        </is>
      </c>
      <c r="O72" t="inlineStr">
        <is>
          <t>一般</t>
        </is>
      </c>
    </row>
    <row r="73">
      <c r="A73" t="inlineStr">
        <is>
          <t>MLT100N</t>
        </is>
      </c>
      <c r="B73">
        <f>IMAGE("https://bilder.obi.cz/40f2a23a-3870-4395-9699-44324d86074d/prZZK/5638754_2505_1.png")</f>
        <v/>
      </c>
      <c r="C73" t="inlineStr">
        <is>
          <t>OEM 品牌</t>
        </is>
      </c>
      <c r="D73" t="inlineStr">
        <is>
          <t>Makita</t>
        </is>
      </c>
      <c r="E73" t="inlineStr">
        <is>
          <t>3.Floor</t>
        </is>
      </c>
      <c r="F73" t="inlineStr">
        <is>
          <t>Single</t>
        </is>
      </c>
      <c r="G73" t="inlineStr">
        <is>
          <t>No</t>
        </is>
      </c>
      <c r="H73" t="n">
        <v>255</v>
      </c>
      <c r="I73" t="inlineStr">
        <is>
          <t>Ø222~267mm</t>
        </is>
      </c>
      <c r="J73" t="n">
        <v>1500</v>
      </c>
      <c r="K73" t="n">
        <v>4300</v>
      </c>
      <c r="L73" t="inlineStr">
        <is>
          <t>https://www.obi.cz/stolni-kotoucove-pily/makita-stolni-pila-mlt100n-255-mm-1500-w/p/5638754</t>
        </is>
      </c>
      <c r="M73" s="2" t="n">
        <v>534.0599999999999</v>
      </c>
      <c r="N73" t="inlineStr">
        <is>
          <t>OBI（CZ）；ManoMano.de（DE）；Hornbach AT（AT）（只能到店／電話訂）；Toolstation（GB）；OBI.ch（CH）（不採計：這頁刀徑原文前後矛盾）；eBay.de（DE）（不採計：這頁沒有型號或刀徑原文）；eBay.at（AT）；Klium.nl（NL）；Ferramentas.pt（PT）（促銷價：頁面現價 653.33、劃線原價 1387.44（「rra de Mesa Makita MLT100N Promo Special Price 653」），採劃線原價（2026-10-22 表單））；Jula（SE）；Howe Tools（GB）（跨境出貨（從 UK 出貨））；ManoMano ES（ES）（不採計：這頁刀徑原文前後矛盾）；B&amp;Q（GB）；Castorama（FR）（促銷價：頁面現價 577.04、劃線原價 885.76（「t: 0 étoiles sur 5 à partir de 0 évaluation du pro」），採劃線原價（2026-10-22 表單））</t>
        </is>
      </c>
      <c r="O73" t="inlineStr">
        <is>
          <t>一般</t>
        </is>
      </c>
    </row>
    <row r="74">
      <c r="A74" t="inlineStr">
        <is>
          <t>TS 254</t>
        </is>
      </c>
      <c r="B74">
        <f>IMAGE("https://www.obsbygg.no/globalassets/productimages/398100_4007430214188_1.jpg?ref=DADD5B8E0B")</f>
        <v/>
      </c>
      <c r="C74" t="inlineStr">
        <is>
          <t>OEM 品牌</t>
        </is>
      </c>
      <c r="D74" t="inlineStr">
        <is>
          <t>Metabo</t>
        </is>
      </c>
      <c r="E74" t="inlineStr">
        <is>
          <t>3.Floor</t>
        </is>
      </c>
      <c r="F74" t="inlineStr">
        <is>
          <t>Single</t>
        </is>
      </c>
      <c r="G74" t="inlineStr">
        <is>
          <t>No</t>
        </is>
      </c>
      <c r="H74" t="n">
        <v>254</v>
      </c>
      <c r="I74" t="inlineStr">
        <is>
          <t>Ø222~267mm</t>
        </is>
      </c>
      <c r="J74" t="n">
        <v>1700</v>
      </c>
      <c r="K74" t="n">
        <v>4200</v>
      </c>
      <c r="L74" t="inlineStr">
        <is>
          <t>https://www.obsbygg.no/verktoy-og-tilbehor/elektroverktoy/bordsager/2156834?v=ObsBygg-4007430214188</t>
        </is>
      </c>
      <c r="M74" s="2" t="n">
        <v>493.83</v>
      </c>
      <c r="N74" t="inlineStr">
        <is>
          <t>Obs Bygg（NO）；Hornbach AT（AT）（只能到店／電話訂）；OBI AT（AT）（促銷價：頁面現價 749.0、劃線原價 829.0（「heyOBI Registrierung erforderlich.   Mehr erfahren」），採劃線原價（2026-10-22 表單））；ManoMano.de（DE）；OBI（DE）；OBI（CZ）；Netrauta.fi（FI）（促銷價：頁面現價 649.99、劃線原價 936.8（「Metabo TS 254 Metabo-tuotteet Pöytäsahat Tuotenume」），採劃線原價（2026-10-22 表單））；Castorama（FR）（促銷價：頁面現價 757.9、劃線原價 1189.33（「t: 0 étoiles sur 5 à partir de 0 évaluation du pro」），採劃線原價（2026-10-22 表單））；toom（DE）</t>
        </is>
      </c>
      <c r="O74" t="inlineStr">
        <is>
          <t>一般</t>
        </is>
      </c>
    </row>
    <row r="75">
      <c r="A75" t="inlineStr">
        <is>
          <t>TS 254 M</t>
        </is>
      </c>
      <c r="B75">
        <f>IMAGE("https://bilder.obi.de/ed32dca7-6957-46e5-b294-d08606ed9b6f/prZZD/image.jpeg")</f>
        <v/>
      </c>
      <c r="C75" t="inlineStr">
        <is>
          <t>OEM 品牌</t>
        </is>
      </c>
      <c r="D75" t="inlineStr">
        <is>
          <t>Metabo</t>
        </is>
      </c>
      <c r="E75" t="inlineStr">
        <is>
          <t>3.Floor</t>
        </is>
      </c>
      <c r="F75" t="inlineStr">
        <is>
          <t>Single</t>
        </is>
      </c>
      <c r="G75" t="inlineStr">
        <is>
          <t>No</t>
        </is>
      </c>
      <c r="H75" t="n">
        <v>254</v>
      </c>
      <c r="I75" t="inlineStr">
        <is>
          <t>Ø222~267mm</t>
        </is>
      </c>
      <c r="J75" t="n">
        <v>1500</v>
      </c>
      <c r="K75" t="n">
        <v>4200</v>
      </c>
      <c r="L75" t="inlineStr">
        <is>
          <t>https://www.obi.de/p/8268666/metabo-tischkreissaege-ts-254-m</t>
        </is>
      </c>
      <c r="M75" s="2" t="n">
        <v>335.87</v>
      </c>
      <c r="N75" t="inlineStr">
        <is>
          <t>OBI（DE）；Globus Baumarkt（DE）；ManoMano.de（DE）；OBI AT（AT）（只能到店／電話訂）；Obs Bygg（NO）；OBI.ch（CH）；OTTO（DE）；OBI（CZ）；PcComponentes（ES）（不採計：這頁沒有型號或刀徑原文）；Castorama（FR）（促銷價：頁面現價 431.01、劃線原價 565.99（「t: 0 étoiles sur 5 à partir de 0 évaluation du pro」），採劃線原價（2026-10-22 表單））；B&amp;Q（GB）</t>
        </is>
      </c>
      <c r="O75" t="inlineStr">
        <is>
          <t>一般</t>
        </is>
      </c>
    </row>
    <row r="76">
      <c r="A76" t="inlineStr">
        <is>
          <t>WTS254M-2</t>
        </is>
      </c>
      <c r="B76">
        <f>IMAGE("https://cdn.manomano.com/pim-media/images/medium/6cf6e414532e28ae43b3472ecbe6c25eb516ccd7.jpg")</f>
        <v/>
      </c>
      <c r="C76" t="inlineStr">
        <is>
          <t>零售品牌</t>
        </is>
      </c>
      <c r="D76" t="inlineStr">
        <is>
          <t>Mophorn</t>
        </is>
      </c>
      <c r="E76" t="inlineStr">
        <is>
          <t>3.Floor</t>
        </is>
      </c>
      <c r="F76" t="inlineStr"/>
      <c r="G76" t="inlineStr">
        <is>
          <t>No</t>
        </is>
      </c>
      <c r="H76" t="n">
        <v>254</v>
      </c>
      <c r="I76" t="inlineStr">
        <is>
          <t>Ø222~267mm</t>
        </is>
      </c>
      <c r="J76" t="n">
        <v>1800</v>
      </c>
      <c r="K76" t="n">
        <v>4800</v>
      </c>
      <c r="L76" t="inlineStr">
        <is>
          <t>https://www.manomano.de/p/mophorn-tischkreissage-mit-stander-254-mm-1800-w-tragbare-kompakte-tischkreissage-200-mm-maximale-schnittkapazitat-4800-umin-schnittgeschwindigkeit-mit-24-zahn-sageblatt-85734451</t>
        </is>
      </c>
      <c r="M76" s="2" t="n">
        <v>272.99</v>
      </c>
      <c r="N76" t="inlineStr">
        <is>
          <t>ManoMano.de（DE）</t>
        </is>
      </c>
      <c r="O76" t="inlineStr">
        <is>
          <t>一般</t>
        </is>
      </c>
    </row>
    <row r="77">
      <c r="A77" t="inlineStr">
        <is>
          <t>N4130</t>
        </is>
      </c>
      <c r="B77">
        <f>IMAGE("https://a.scdn.gr/images/sku_main_images/063170/63170216/20250924095830_table_circular_saw_notig_tools_2200w_250by30_mm_n4130.jpeg")</f>
        <v/>
      </c>
      <c r="C77" t="inlineStr">
        <is>
          <t>零售品牌</t>
        </is>
      </c>
      <c r="D77" t="inlineStr">
        <is>
          <t>Notig Tools</t>
        </is>
      </c>
      <c r="E77" t="inlineStr"/>
      <c r="F77" t="inlineStr"/>
      <c r="G77" t="inlineStr">
        <is>
          <t>No</t>
        </is>
      </c>
      <c r="H77" t="n">
        <v>250</v>
      </c>
      <c r="I77" t="inlineStr">
        <is>
          <t>Ø222~267mm</t>
        </is>
      </c>
      <c r="J77" t="n">
        <v>2200</v>
      </c>
      <c r="K77" t="n">
        <v>4700</v>
      </c>
      <c r="L77" t="inlineStr">
        <is>
          <t>https://www.skroutz.gr/s/63170216/table-circular-saw-notig-tools-2200w-250x30-mm-n4130.html</t>
        </is>
      </c>
      <c r="M77" s="2" t="n">
        <v>180.07</v>
      </c>
      <c r="N77" t="inlineStr">
        <is>
          <t>Skroutz（GR）</t>
        </is>
      </c>
      <c r="O77" t="inlineStr">
        <is>
          <t>一般</t>
        </is>
      </c>
    </row>
    <row r="78">
      <c r="A78" t="inlineStr">
        <is>
          <t>M1H-ZP5-250</t>
        </is>
      </c>
      <c r="B78">
        <f>IMAGE("https://static01.galaxus.com/productimages/7/7/2/8/8/6/5/5/3/4/5/2/0/7/2/1/9/8/6/01a03f72-e9ec-7476-8252-733436198268_sea.jpeg")</f>
        <v/>
      </c>
      <c r="C78" t="inlineStr">
        <is>
          <t>零售品牌</t>
        </is>
      </c>
      <c r="D78" t="inlineStr">
        <is>
          <t>Okko</t>
        </is>
      </c>
      <c r="E78" t="inlineStr"/>
      <c r="F78" t="inlineStr"/>
      <c r="G78" t="inlineStr">
        <is>
          <t>No</t>
        </is>
      </c>
      <c r="H78" t="n">
        <v>250</v>
      </c>
      <c r="I78" t="inlineStr">
        <is>
          <t>Ø222~267mm</t>
        </is>
      </c>
      <c r="J78" t="n">
        <v>1800</v>
      </c>
      <c r="K78" t="inlineStr"/>
      <c r="L78" t="inlineStr">
        <is>
          <t>https://www.galaxus.nl/nl/s4/product/okko-table-saw-m1h-zp5-250-250mm-1800w-tafelcirkelzagen-57616880</t>
        </is>
      </c>
      <c r="M78" s="2" t="n">
        <v>159</v>
      </c>
      <c r="N78" t="inlineStr">
        <is>
          <t>Galaxus.nl（NL）</t>
        </is>
      </c>
      <c r="O78" t="inlineStr">
        <is>
          <t>一般</t>
        </is>
      </c>
    </row>
    <row r="79">
      <c r="A79" t="inlineStr">
        <is>
          <t>PTKS 2200 A1</t>
        </is>
      </c>
      <c r="B79">
        <f>IMAGE("https://www.lidl.de/assets/gcp9bb15020acef42a1a3b4d18a311c49ab.jpg")</f>
        <v/>
      </c>
      <c r="C79" t="inlineStr">
        <is>
          <t>零售品牌</t>
        </is>
      </c>
      <c r="D79" t="inlineStr">
        <is>
          <t>Parkside</t>
        </is>
      </c>
      <c r="E79" t="inlineStr">
        <is>
          <t>3.Floor</t>
        </is>
      </c>
      <c r="F79" t="inlineStr"/>
      <c r="G79" t="inlineStr">
        <is>
          <t>No</t>
        </is>
      </c>
      <c r="H79" t="n">
        <v>254</v>
      </c>
      <c r="I79" t="inlineStr">
        <is>
          <t>Ø222~267mm</t>
        </is>
      </c>
      <c r="J79" t="n">
        <v>2200</v>
      </c>
      <c r="K79" t="n">
        <v>5000</v>
      </c>
      <c r="L79" t="inlineStr">
        <is>
          <t>https://www.lidl.de/p/parkside-tischkreissaege-ptks-2200-a1/p100408496</t>
        </is>
      </c>
      <c r="M79" s="2" t="n">
        <v>128.99</v>
      </c>
      <c r="N79" t="inlineStr">
        <is>
          <t>Lidl（DE）</t>
        </is>
      </c>
      <c r="O79" t="inlineStr">
        <is>
          <t>一般</t>
        </is>
      </c>
    </row>
    <row r="80">
      <c r="A80" t="inlineStr">
        <is>
          <t>PD254TS</t>
        </is>
      </c>
      <c r="B80">
        <f>IMAGE("https://cdn.axminstertools.com/media/catalog/product/cache/178130bff8f35812b0f00b2e75c662fd/1/1/113359_xl.jpg")</f>
        <v/>
      </c>
      <c r="C80" t="inlineStr">
        <is>
          <t>零售品牌</t>
        </is>
      </c>
      <c r="D80" t="inlineStr">
        <is>
          <t>Perform</t>
        </is>
      </c>
      <c r="E80" t="inlineStr"/>
      <c r="F80" t="inlineStr"/>
      <c r="G80" t="inlineStr">
        <is>
          <t>No</t>
        </is>
      </c>
      <c r="H80" t="n">
        <v>254</v>
      </c>
      <c r="I80" t="inlineStr">
        <is>
          <t>Ø222~267mm</t>
        </is>
      </c>
      <c r="J80" t="n">
        <v>2000</v>
      </c>
      <c r="K80" t="n">
        <v>4800</v>
      </c>
      <c r="L80" t="inlineStr">
        <is>
          <t>https://www.axminstertools.com/perform-pd254ts-254mm-saw-bench-230v-113359</t>
        </is>
      </c>
      <c r="M80" s="2" t="n">
        <v>207.36</v>
      </c>
      <c r="N80" t="inlineStr">
        <is>
          <t>Axminster Tools（GB）</t>
        </is>
      </c>
      <c r="O80" t="inlineStr">
        <is>
          <t>一般</t>
        </is>
      </c>
    </row>
    <row r="81">
      <c r="A81" t="inlineStr">
        <is>
          <t>254B3BP</t>
        </is>
      </c>
      <c r="B81">
        <f>IMAGE("https://media.castorama.fr/is/image/Castorama/scie-sur-table-peugeot-254b3bp-1800w-254-x-30-mm~3611351320043_01c_FR_cf?$MOB_PREV$&amp;$width=1200&amp;$height=1200")</f>
        <v/>
      </c>
      <c r="C81" t="inlineStr">
        <is>
          <t>零售品牌</t>
        </is>
      </c>
      <c r="D81" t="inlineStr">
        <is>
          <t>Peugeot</t>
        </is>
      </c>
      <c r="E81" t="inlineStr"/>
      <c r="F81" t="inlineStr"/>
      <c r="G81" t="inlineStr">
        <is>
          <t>No</t>
        </is>
      </c>
      <c r="H81" t="n">
        <v>254</v>
      </c>
      <c r="I81" t="inlineStr">
        <is>
          <t>Ø222~267mm</t>
        </is>
      </c>
      <c r="J81" t="n">
        <v>1800</v>
      </c>
      <c r="K81" t="n">
        <v>4800</v>
      </c>
      <c r="L81" t="inlineStr">
        <is>
          <t>https://www.castorama.fr/scie-sur-table-peugeot-254b3bp-1800w-254-x-30-mm/3611351320043_CAFR.prd</t>
        </is>
      </c>
      <c r="M81" s="2" t="n">
        <v>269.9</v>
      </c>
      <c r="N81" t="inlineStr">
        <is>
          <t>Castorama（FR）</t>
        </is>
      </c>
      <c r="O81" t="inlineStr">
        <is>
          <t>一般</t>
        </is>
      </c>
    </row>
    <row r="82">
      <c r="A82" t="inlineStr">
        <is>
          <t>Energysaw-254B3</t>
        </is>
      </c>
      <c r="B82">
        <f>IMAGE("https://media.castorama.fr/is/image/Castorama/scie-sur-table-peugeot-energysaw-254b3-1800w~3611351320036_01c_FR_CF?$MOB_PREV$&amp;$width=1200&amp;$height=1200")</f>
        <v/>
      </c>
      <c r="C82" t="inlineStr">
        <is>
          <t>零售品牌</t>
        </is>
      </c>
      <c r="D82" t="inlineStr">
        <is>
          <t>Peugeot</t>
        </is>
      </c>
      <c r="E82" t="inlineStr">
        <is>
          <t>3.Floor</t>
        </is>
      </c>
      <c r="F82" t="inlineStr"/>
      <c r="G82" t="inlineStr">
        <is>
          <t>No</t>
        </is>
      </c>
      <c r="H82" t="n">
        <v>254</v>
      </c>
      <c r="I82" t="inlineStr">
        <is>
          <t>Ø222~267mm</t>
        </is>
      </c>
      <c r="J82" t="n">
        <v>1800</v>
      </c>
      <c r="K82" t="n">
        <v>4800</v>
      </c>
      <c r="L82" t="inlineStr">
        <is>
          <t>https://www.castorama.fr/scie-sur-table-peugeot-energysaw-254b3-1800w/3611351320036_CAFR.prd</t>
        </is>
      </c>
      <c r="M82" s="2" t="n">
        <v>279.9</v>
      </c>
      <c r="N82" t="inlineStr">
        <is>
          <t>Castorama（FR）（不採計：這頁沒有型號或刀徑原文）</t>
        </is>
      </c>
      <c r="O82" t="inlineStr">
        <is>
          <t>一般</t>
        </is>
      </c>
    </row>
    <row r="83">
      <c r="A83" t="inlineStr">
        <is>
          <t>POWX07595</t>
        </is>
      </c>
      <c r="B83">
        <f>IMAGE("https://cdn.manomano.com/pim-media/images/medium/5ddba590cbe12cf3bfd9d6651211336b0a3f85c7.jpg")</f>
        <v/>
      </c>
      <c r="C83" t="inlineStr">
        <is>
          <t>零售品牌</t>
        </is>
      </c>
      <c r="D83" t="inlineStr">
        <is>
          <t>Powerplus</t>
        </is>
      </c>
      <c r="E83" t="inlineStr">
        <is>
          <t>3.Floor</t>
        </is>
      </c>
      <c r="F83" t="inlineStr"/>
      <c r="G83" t="inlineStr">
        <is>
          <t>No</t>
        </is>
      </c>
      <c r="H83" t="n">
        <v>250</v>
      </c>
      <c r="I83" t="inlineStr">
        <is>
          <t>Ø222~267mm</t>
        </is>
      </c>
      <c r="J83" t="n">
        <v>2000</v>
      </c>
      <c r="K83" t="n">
        <v>5000</v>
      </c>
      <c r="L83" t="inlineStr">
        <is>
          <t>https://www.manomano.fr/p/powerplus-scie-sur-table-2000w-250mm-powx07595-18400542</t>
        </is>
      </c>
      <c r="M83" s="2" t="n">
        <v>229.95</v>
      </c>
      <c r="N83" t="inlineStr">
        <is>
          <t>ManoMano.fr（FR）；eMAG.hu（HU）</t>
        </is>
      </c>
      <c r="O83" t="inlineStr">
        <is>
          <t>一般</t>
        </is>
      </c>
    </row>
    <row r="84">
      <c r="A84" t="inlineStr">
        <is>
          <t>POWX07598</t>
        </is>
      </c>
      <c r="B84">
        <f>IMAGE("https://cdn.manomano.com/pim-media/images/medium/e697ee4736c5c936089858b13c1d3fb650d2485d.jpg")</f>
        <v/>
      </c>
      <c r="C84" t="inlineStr">
        <is>
          <t>零售品牌</t>
        </is>
      </c>
      <c r="D84" t="inlineStr">
        <is>
          <t>Powerplus</t>
        </is>
      </c>
      <c r="E84" t="inlineStr">
        <is>
          <t>3.Floor</t>
        </is>
      </c>
      <c r="F84" t="inlineStr"/>
      <c r="G84" t="inlineStr">
        <is>
          <t>No</t>
        </is>
      </c>
      <c r="H84" t="n">
        <v>250</v>
      </c>
      <c r="I84" t="inlineStr">
        <is>
          <t>Ø222~267mm</t>
        </is>
      </c>
      <c r="J84" t="n">
        <v>2000</v>
      </c>
      <c r="K84" t="n">
        <v>5000</v>
      </c>
      <c r="L84" t="inlineStr">
        <is>
          <t>https://www.manomano.fr/p/scie-table-2000w-250mm-40980777</t>
        </is>
      </c>
      <c r="M84" s="2" t="n">
        <v>299.95</v>
      </c>
      <c r="N84" t="inlineStr">
        <is>
          <t>ManoMano.fr（FR）</t>
        </is>
      </c>
      <c r="O84" t="inlineStr">
        <is>
          <t>一般</t>
        </is>
      </c>
    </row>
    <row r="85">
      <c r="A85" t="inlineStr">
        <is>
          <t>70-22127</t>
        </is>
      </c>
      <c r="B85">
        <f>IMAGE("https://cdn.broman.group/api/image/v1/image/4CBA6DA16957547AB3F46F4D8B16C4BC176FC1CD.probuilder-poytasirkkeli-250-mm-1800-w-70-22127.jpg")</f>
        <v/>
      </c>
      <c r="C85" t="inlineStr">
        <is>
          <t>零售品牌</t>
        </is>
      </c>
      <c r="D85" t="inlineStr">
        <is>
          <t>Probuilder</t>
        </is>
      </c>
      <c r="E85" t="inlineStr"/>
      <c r="F85" t="inlineStr"/>
      <c r="G85" t="inlineStr">
        <is>
          <t>No</t>
        </is>
      </c>
      <c r="H85" t="n">
        <v>250</v>
      </c>
      <c r="I85" t="inlineStr">
        <is>
          <t>Ø222~267mm</t>
        </is>
      </c>
      <c r="J85" t="inlineStr"/>
      <c r="K85" t="n">
        <v>5000</v>
      </c>
      <c r="L85" t="inlineStr">
        <is>
          <t>https://www.motonet.fi/tuote/probuilder-poytasirkkeli-250-mm-1800-w?product=70-22127</t>
        </is>
      </c>
      <c r="M85" s="2" t="n">
        <v>159</v>
      </c>
      <c r="N85" t="inlineStr">
        <is>
          <t>Motonet（FI）</t>
        </is>
      </c>
      <c r="O85" t="inlineStr">
        <is>
          <t>一般</t>
        </is>
      </c>
    </row>
    <row r="86">
      <c r="A86" t="inlineStr">
        <is>
          <t>KR2800</t>
        </is>
      </c>
      <c r="B86">
        <f>IMAGE("https://toolbrothers.nl/cdn/shop/files/171358-Procraft-KR2800-Tischkreissaege-2000-Watt-254-mm---Saegeblatt_8556288b-3949-46e6-924e-14547f2faf9f.jpg?v=1788805199&amp;width=1200")</f>
        <v/>
      </c>
      <c r="C86" t="inlineStr">
        <is>
          <t>零售品牌</t>
        </is>
      </c>
      <c r="D86" t="inlineStr">
        <is>
          <t>Procraft</t>
        </is>
      </c>
      <c r="E86" t="inlineStr"/>
      <c r="F86" t="inlineStr"/>
      <c r="G86" t="inlineStr">
        <is>
          <t>No</t>
        </is>
      </c>
      <c r="H86" t="n">
        <v>254</v>
      </c>
      <c r="I86" t="inlineStr">
        <is>
          <t>Ø222~267mm</t>
        </is>
      </c>
      <c r="J86" t="n">
        <v>2000</v>
      </c>
      <c r="K86" t="n">
        <v>5300</v>
      </c>
      <c r="L86" t="inlineStr">
        <is>
          <t>https://toolbrothers.nl/products/procraft-kr2800-tischkreissage-2000-watt-254-mm-sageblatt?_ds_source=search&amp;_ds_query=afkortzaag+254&amp;_ds_sid=sq_1792558904622_5s9mawnlx</t>
        </is>
      </c>
      <c r="M86" s="2" t="n">
        <v>232.2</v>
      </c>
      <c r="N86" t="inlineStr">
        <is>
          <t>Toolbrothers.nl（NL）（促銷價：頁面現價 178.99、劃線原價 232.2（「deling Spannung 220–240 V Drehzahl 5.300 min⁻¹ Gew」），採劃線原價（2026-10-22 表單））</t>
        </is>
      </c>
      <c r="O86" t="inlineStr">
        <is>
          <t>一般</t>
        </is>
      </c>
    </row>
    <row r="87">
      <c r="A87" t="inlineStr">
        <is>
          <t>PR 250 TM</t>
        </is>
      </c>
      <c r="B87">
        <f>IMAGE("https://image03.idefix.com/resize/526/0/product/4780081/proter-pr-250-tm-2000-w-sehbali-tezgah-testere-2000w-672865c7bdfbd.jpg")</f>
        <v/>
      </c>
      <c r="C87" t="inlineStr">
        <is>
          <t>零售品牌</t>
        </is>
      </c>
      <c r="D87" t="inlineStr">
        <is>
          <t>Proter</t>
        </is>
      </c>
      <c r="E87" t="inlineStr">
        <is>
          <t>3.Floor</t>
        </is>
      </c>
      <c r="F87" t="inlineStr"/>
      <c r="G87" t="inlineStr">
        <is>
          <t>No</t>
        </is>
      </c>
      <c r="H87" t="n">
        <v>250</v>
      </c>
      <c r="I87" t="inlineStr">
        <is>
          <t>Ø222~267mm</t>
        </is>
      </c>
      <c r="J87" t="n">
        <v>2000</v>
      </c>
      <c r="K87" t="n">
        <v>5000</v>
      </c>
      <c r="L87" t="inlineStr">
        <is>
          <t>https://www.idefix.com/proter-pr-250-tm-2000-w-sehbali-tezgah-testere-2000w-p-4780081</t>
        </is>
      </c>
      <c r="M87" s="2" t="n">
        <v>258.11</v>
      </c>
      <c r="N87" t="inlineStr">
        <is>
          <t>idefix（TR）</t>
        </is>
      </c>
      <c r="O87" t="inlineStr">
        <is>
          <t>一般</t>
        </is>
      </c>
    </row>
    <row r="88">
      <c r="A88" t="inlineStr">
        <is>
          <t>RTM6280</t>
        </is>
      </c>
      <c r="B88">
        <f>IMAGE("https://image01.idefix.com/resize/900/0/product/31235474/tezgah-testere-2000-w-255-mm-rtrmax-6aacf92291030.png")</f>
        <v/>
      </c>
      <c r="C88" t="inlineStr">
        <is>
          <t>OEM 品牌</t>
        </is>
      </c>
      <c r="D88" t="inlineStr">
        <is>
          <t>RTRMAX</t>
        </is>
      </c>
      <c r="E88" t="inlineStr"/>
      <c r="F88" t="inlineStr"/>
      <c r="G88" t="inlineStr">
        <is>
          <t>No</t>
        </is>
      </c>
      <c r="H88" t="n">
        <v>255</v>
      </c>
      <c r="I88" t="inlineStr">
        <is>
          <t>Ø222~267mm</t>
        </is>
      </c>
      <c r="J88" t="n">
        <v>2000</v>
      </c>
      <c r="K88" t="n">
        <v>5300</v>
      </c>
      <c r="L88" t="inlineStr">
        <is>
          <t>https://www.idefix.com/rtrmax-tezgah-testere-2000-w-255-mm-p-31235474</t>
        </is>
      </c>
      <c r="M88" s="2" t="n">
        <v>214.94</v>
      </c>
      <c r="N88" t="inlineStr">
        <is>
          <t>idefix（TR）</t>
        </is>
      </c>
      <c r="O88" t="inlineStr">
        <is>
          <t>一般</t>
        </is>
      </c>
    </row>
    <row r="89">
      <c r="A89" t="inlineStr">
        <is>
          <t>RTS1800-G</t>
        </is>
      </c>
      <c r="B89">
        <f>IMAGE("https://cdn.manomano.com/pim-media/images/medium/538a87f9bbf36c65b6638c72624bb0f6cc371368.jpg")</f>
        <v/>
      </c>
      <c r="C89" t="inlineStr">
        <is>
          <t>OEM 品牌</t>
        </is>
      </c>
      <c r="D89" t="inlineStr">
        <is>
          <t>Ryobi</t>
        </is>
      </c>
      <c r="E89" t="inlineStr">
        <is>
          <t>3.Floor</t>
        </is>
      </c>
      <c r="F89" t="inlineStr"/>
      <c r="G89" t="inlineStr">
        <is>
          <t>No</t>
        </is>
      </c>
      <c r="H89" t="n">
        <v>254</v>
      </c>
      <c r="I89" t="inlineStr">
        <is>
          <t>Ø222~267mm</t>
        </is>
      </c>
      <c r="J89" t="n">
        <v>1800</v>
      </c>
      <c r="K89" t="inlineStr"/>
      <c r="L89" t="inlineStr">
        <is>
          <t>https://www.manomano.de/p/sah-auf-elektrischen-tisch-ryobi-1800w-254mm-rts1800-g-414477</t>
        </is>
      </c>
      <c r="M89" s="2" t="n">
        <v>204.99</v>
      </c>
      <c r="N89" t="inlineStr">
        <is>
          <t>ManoMano.de（DE）</t>
        </is>
      </c>
      <c r="O89" t="inlineStr">
        <is>
          <t>一般</t>
        </is>
      </c>
    </row>
    <row r="90">
      <c r="A90" t="inlineStr">
        <is>
          <t>RTS1800EF-G</t>
        </is>
      </c>
      <c r="B90">
        <f>IMAGE("https://cdn.manomano.com/pim-media/images/medium/8d2b2075b9133f7cbb392bfe831c8a4629a1ac04.jpg")</f>
        <v/>
      </c>
      <c r="C90" t="inlineStr">
        <is>
          <t>OEM 品牌</t>
        </is>
      </c>
      <c r="D90" t="inlineStr">
        <is>
          <t>Ryobi</t>
        </is>
      </c>
      <c r="E90" t="inlineStr">
        <is>
          <t>3.Floor</t>
        </is>
      </c>
      <c r="F90" t="inlineStr">
        <is>
          <t>Single</t>
        </is>
      </c>
      <c r="G90" t="inlineStr">
        <is>
          <t>No</t>
        </is>
      </c>
      <c r="H90" t="n">
        <v>254</v>
      </c>
      <c r="I90" t="inlineStr">
        <is>
          <t>Ø222~267mm</t>
        </is>
      </c>
      <c r="J90" t="n">
        <v>1800</v>
      </c>
      <c r="K90" t="n">
        <v>4500</v>
      </c>
      <c r="L90" t="inlineStr">
        <is>
          <t>https://www.castorama.fr/mkp/ryobi-scie-sur-table-1-800-w-table-alu-pietement-retractable-lame-254mm-48-dents-guide-parallele-poussoir-rts1800ef-g/4892210125996_CAFR.prd</t>
        </is>
      </c>
      <c r="M90" s="2" t="n">
        <v>334.99</v>
      </c>
      <c r="N90" t="inlineStr">
        <is>
          <t>Castorama（FR）（促銷價：頁面現價 313.49、劃線原價 334.99（「t: 0 étoiles sur 5 à partir de 0 évaluation du pro」），採劃線原價（2026-10-22 表單））；ManoMano.de（DE）；Clas Ohlson SE（SE）（不採計：這頁沒有型號或刀徑原文）；Jula（PL）；K-Rauta（FI）；Moyo（UA）（缺貨）；Jula NO（NO）；Jula（SE）；Darty（FR）（跨境出貨（從 Pays d'expédition : France 出貨）；促銷價：頁面現價 496.64、劃線原價 705.64（「uf Pays d'expédition : France Vendeur français Bon」），採劃線原價（2026-10-22 表單））</t>
        </is>
      </c>
      <c r="O90" t="inlineStr">
        <is>
          <t>一般</t>
        </is>
      </c>
    </row>
    <row r="91">
      <c r="A91" t="inlineStr">
        <is>
          <t>RTS1800S-G</t>
        </is>
      </c>
      <c r="B91">
        <f>IMAGE("https://www.cdiscount.com/pdt2/2/2/1/1/700x700/5133002221/rw/ryobi-scie-sur-table-1-800-w-pietement-retract.jpg")</f>
        <v/>
      </c>
      <c r="C91" t="inlineStr">
        <is>
          <t>OEM 品牌</t>
        </is>
      </c>
      <c r="D91" t="inlineStr">
        <is>
          <t>Ryobi</t>
        </is>
      </c>
      <c r="E91" t="inlineStr">
        <is>
          <t>3.Floor</t>
        </is>
      </c>
      <c r="F91" t="inlineStr"/>
      <c r="G91" t="inlineStr">
        <is>
          <t>No</t>
        </is>
      </c>
      <c r="H91" t="n">
        <v>255</v>
      </c>
      <c r="I91" t="inlineStr">
        <is>
          <t>Ø222~267mm</t>
        </is>
      </c>
      <c r="J91" t="n">
        <v>1800</v>
      </c>
      <c r="K91" t="n">
        <v>4500</v>
      </c>
      <c r="L91" t="inlineStr">
        <is>
          <t>https://www.cdiscount.com/bricolage/outillage/ryobi-scie-sur-table-1-800-w-pietement-retract/f-166010106-5133002221.html</t>
        </is>
      </c>
      <c r="M91" s="2" t="n">
        <v>242.99</v>
      </c>
      <c r="N91" t="inlineStr">
        <is>
          <t>Cdiscount（FR）；eBay.fr（FR）；Bauhaus.fi（FI）；K-Rauta（FI）；Castorama（FR）（促銷價：頁面現價 256.49、劃線原價 274.99（「t: 0 étoiles sur 5 à partir de 0 évaluation du pro」），採劃線原價（2026-10-22 表單））；Darty（FR）（跨境出貨（從 Pays d'expédition : France 出貨）；促銷價：頁面現價 400.53、劃線原價 552.53（「uf Pays d'expédition : France Vendeur français Bon」），採劃線原價（2026-10-22 表單））</t>
        </is>
      </c>
      <c r="O91" t="inlineStr">
        <is>
          <t>一般</t>
        </is>
      </c>
    </row>
    <row r="92">
      <c r="A92" t="inlineStr">
        <is>
          <t>CTS</t>
        </is>
      </c>
      <c r="B92">
        <f>IMAGE("https://media.sautershop.de/transform/6569aeee-2703-46b9-9c69-8165f986b720/tischkreissaege-sawstop-saw-cts-230b50eu-01?ts=1791860773")</f>
        <v/>
      </c>
      <c r="C92" t="inlineStr">
        <is>
          <t>OEM 品牌</t>
        </is>
      </c>
      <c r="D92" t="inlineStr">
        <is>
          <t>SawStop</t>
        </is>
      </c>
      <c r="E92" t="inlineStr"/>
      <c r="F92" t="inlineStr"/>
      <c r="G92" t="inlineStr">
        <is>
          <t>No</t>
        </is>
      </c>
      <c r="H92" t="n">
        <v>254</v>
      </c>
      <c r="I92" t="inlineStr">
        <is>
          <t>Ø222~267mm</t>
        </is>
      </c>
      <c r="J92" t="inlineStr"/>
      <c r="K92" t="n">
        <v>4000</v>
      </c>
      <c r="L92" t="inlineStr">
        <is>
          <t>https://www.sautershop-de.com/en-int/sawstop-cts-table-saw-saw-cts-230b50eu</t>
        </is>
      </c>
      <c r="M92" s="2" t="n">
        <v>999</v>
      </c>
      <c r="N92" t="inlineStr">
        <is>
          <t>Sautershop（DE）</t>
        </is>
      </c>
      <c r="O92" t="inlineStr">
        <is>
          <t>一般</t>
        </is>
      </c>
    </row>
    <row r="93">
      <c r="A93" t="inlineStr">
        <is>
          <t>HS100S</t>
        </is>
      </c>
      <c r="B93">
        <f>IMAGE("https://media.castorama.fr/is/image/Castorama/scie-circulaire-sur-table-hs100s-scheppach-puissance-2000w-lame-250x30-mm-hauteur-de-coupe-85mm~4046664037637_01c_MP?$MOB_PREV$&amp;$width=1200&amp;$height=1200")</f>
        <v/>
      </c>
      <c r="C93" t="inlineStr">
        <is>
          <t>OEM 品牌</t>
        </is>
      </c>
      <c r="D93" t="inlineStr">
        <is>
          <t>Scheppach</t>
        </is>
      </c>
      <c r="E93" t="inlineStr">
        <is>
          <t>3.Floor</t>
        </is>
      </c>
      <c r="F93" t="inlineStr">
        <is>
          <t>Single</t>
        </is>
      </c>
      <c r="G93" t="inlineStr">
        <is>
          <t>No</t>
        </is>
      </c>
      <c r="H93" t="n">
        <v>250</v>
      </c>
      <c r="I93" t="inlineStr">
        <is>
          <t>Ø222~267mm</t>
        </is>
      </c>
      <c r="J93" t="n">
        <v>2000</v>
      </c>
      <c r="K93" t="n">
        <v>5000</v>
      </c>
      <c r="L93" t="inlineStr">
        <is>
          <t>https://www.obi.sk/stolove-kotucove-pily/scheppach-stolova-kotucova-pila-hs100s/p/4984324</t>
        </is>
      </c>
      <c r="M93" s="2" t="n">
        <v>147.99</v>
      </c>
      <c r="N93" t="inlineStr">
        <is>
          <t>OBI SK（SK）；ManoMano.de（DE）；OBI（DE）；OBI AT（AT）；OBI（CZ）；K-Rauta（FI）；Skroutz（GR）；eMAG（RO）；eMAG.hu（HU）；Praxis（NL）；ManoMano ES（ES）；Leroy Merlin IT（IT）；B&amp;Q（GB）；Castorama（FR）（促銷價：頁面現價 129.1、劃線原價 148.14（「t: 0 étoiles sur 5 à partir de 0 évaluation du pro」），採劃線原價（2026-10-22 表單））</t>
        </is>
      </c>
      <c r="O93" t="inlineStr">
        <is>
          <t>一般</t>
        </is>
      </c>
    </row>
    <row r="94">
      <c r="A94" t="inlineStr">
        <is>
          <t>HS105</t>
        </is>
      </c>
      <c r="B94">
        <f>IMAGE("https://cdn.manomano.com/pim-media/images/medium/1ae089eabacb7c9578043be69819b5c80d59f96c.jpg")</f>
        <v/>
      </c>
      <c r="C94" t="inlineStr">
        <is>
          <t>OEM 品牌</t>
        </is>
      </c>
      <c r="D94" t="inlineStr">
        <is>
          <t>Scheppach</t>
        </is>
      </c>
      <c r="E94" t="inlineStr">
        <is>
          <t>1.Table Top</t>
        </is>
      </c>
      <c r="F94" t="inlineStr">
        <is>
          <t>Single</t>
        </is>
      </c>
      <c r="G94" t="inlineStr">
        <is>
          <t>No</t>
        </is>
      </c>
      <c r="H94" t="n">
        <v>255</v>
      </c>
      <c r="I94" t="inlineStr">
        <is>
          <t>Ø222~267mm</t>
        </is>
      </c>
      <c r="J94" t="n">
        <v>2000</v>
      </c>
      <c r="K94" t="n">
        <v>4800</v>
      </c>
      <c r="L94" t="inlineStr">
        <is>
          <t>https://www.manomano.de/p/scheppach-tischkreissage-hs105-profi-gerat-2000w-schnitthohe-75mm-sagebl-255mm-88577959</t>
        </is>
      </c>
      <c r="M94" s="2" t="n">
        <v>199.9</v>
      </c>
      <c r="N94" t="inlineStr">
        <is>
          <t>ManoMano.de（DE）；Obs Bygg（NO）；OBI（DE）；toom（DE）（可預訂）；Galaxus（CH）；OBI（CZ）；K-Rauta（FI）；Netrauta.fi（FI）（促銷價：頁面現價 293.99、劃線原價 402.9（「30V/2.0kW Scheppach-tuotteet Pöytäsahat Tuotenumer」），採劃線原價（2026-10-22 表單））；OBI SK（SK）；Leroy Merlin（RO）；ManoMano ES（ES）</t>
        </is>
      </c>
      <c r="O94" t="inlineStr">
        <is>
          <t>一般</t>
        </is>
      </c>
    </row>
    <row r="95">
      <c r="A95" t="inlineStr">
        <is>
          <t>HS110</t>
        </is>
      </c>
      <c r="B95">
        <f>IMAGE("https://static.toom.de/produkte/bilder/10507536/10507536_01.png?width=1200&amp;height=1200&amp;format=jpg")</f>
        <v/>
      </c>
      <c r="C95" t="inlineStr">
        <is>
          <t>OEM 品牌</t>
        </is>
      </c>
      <c r="D95" t="inlineStr">
        <is>
          <t>Scheppach</t>
        </is>
      </c>
      <c r="E95" t="inlineStr">
        <is>
          <t>3.Floor</t>
        </is>
      </c>
      <c r="F95" t="inlineStr">
        <is>
          <t>Dual</t>
        </is>
      </c>
      <c r="G95" t="inlineStr">
        <is>
          <t>No</t>
        </is>
      </c>
      <c r="H95" t="n">
        <v>254</v>
      </c>
      <c r="I95" t="inlineStr">
        <is>
          <t>Ø222~267mm</t>
        </is>
      </c>
      <c r="J95" t="n">
        <v>2000</v>
      </c>
      <c r="K95" t="n">
        <v>4800</v>
      </c>
      <c r="L95" t="inlineStr">
        <is>
          <t>https://toom.de/p/tischkreissaege-hs110-2000-w/10507536</t>
        </is>
      </c>
      <c r="M95" s="2" t="n">
        <v>119.99</v>
      </c>
      <c r="N95" t="inlineStr">
        <is>
          <t>toom（DE）（可預訂）；Scheppach webshop (shop.scheppach.com)（DE）；Castorama（FR）</t>
        </is>
      </c>
      <c r="O95" t="inlineStr">
        <is>
          <t>一般</t>
        </is>
      </c>
    </row>
    <row r="96">
      <c r="A96" t="inlineStr">
        <is>
          <t>HS115</t>
        </is>
      </c>
      <c r="B96">
        <f>IMAGE("https://cdn.manomano.com/pim-media/images/medium/1523aad9208122675dd637abb130b6d8faca3ccd.jpg")</f>
        <v/>
      </c>
      <c r="C96" t="inlineStr">
        <is>
          <t>OEM 品牌</t>
        </is>
      </c>
      <c r="D96" t="inlineStr">
        <is>
          <t>Scheppach</t>
        </is>
      </c>
      <c r="E96" t="inlineStr">
        <is>
          <t>3.Floor</t>
        </is>
      </c>
      <c r="F96" t="inlineStr"/>
      <c r="G96" t="inlineStr">
        <is>
          <t>Sliding Table</t>
        </is>
      </c>
      <c r="H96" t="n">
        <v>255</v>
      </c>
      <c r="I96" t="inlineStr">
        <is>
          <t>Ø222~267mm</t>
        </is>
      </c>
      <c r="J96" t="inlineStr"/>
      <c r="K96" t="n">
        <v>7000</v>
      </c>
      <c r="L96" t="inlineStr">
        <is>
          <t>https://www.manomano.de/p/scheppach-tischkreissaege-hs115-2000w-mit-untergestell-2-tischverbreiterungen-43866156</t>
        </is>
      </c>
      <c r="M96" s="2" t="n">
        <v>399</v>
      </c>
      <c r="N96" t="inlineStr">
        <is>
          <t>ManoMano.de（DE）</t>
        </is>
      </c>
      <c r="O96" t="inlineStr">
        <is>
          <t>一般</t>
        </is>
      </c>
    </row>
    <row r="97">
      <c r="A97" t="inlineStr">
        <is>
          <t>HS254</t>
        </is>
      </c>
      <c r="B97">
        <f>IMAGE("https://bilder.obi.de/3e31e669-ee52-41c6-99d2-536fa8ab1469/prZZD/image.jpeg")</f>
        <v/>
      </c>
      <c r="C97" t="inlineStr">
        <is>
          <t>OEM 品牌</t>
        </is>
      </c>
      <c r="D97" t="inlineStr">
        <is>
          <t>Scheppach</t>
        </is>
      </c>
      <c r="E97" t="inlineStr">
        <is>
          <t>3.Floor</t>
        </is>
      </c>
      <c r="F97" t="inlineStr">
        <is>
          <t>Single</t>
        </is>
      </c>
      <c r="G97" t="inlineStr">
        <is>
          <t>No</t>
        </is>
      </c>
      <c r="H97" t="n">
        <v>254</v>
      </c>
      <c r="I97" t="inlineStr">
        <is>
          <t>Ø222~267mm</t>
        </is>
      </c>
      <c r="J97" t="n">
        <v>2200</v>
      </c>
      <c r="K97" t="n">
        <v>5300</v>
      </c>
      <c r="L97" t="inlineStr">
        <is>
          <t>https://www.obi.de/p/5306006/scheppach-tischkreissaege-hs254</t>
        </is>
      </c>
      <c r="M97" s="2" t="n">
        <v>129</v>
      </c>
      <c r="N97" t="inlineStr">
        <is>
          <t>OBI（DE）；ManoMano.de（DE）；OBI AT（AT）（促銷價：頁面現價 149.0、劃線原價 169.99（「.26. heyOBI Registrierung erforderlich.   Mehr erf」），採劃線原價（2026-10-22 表單））；Scheppach webshop (shop.scheppach.com)（DE）；toom（DE）（缺貨）；Bauhaus（CZ）；B&amp;Q（GB）（不採計：這頁刀徑原文前後矛盾）；Castorama（FR）；Galaxus.nl（NL）（不採計：這頁沒有型號或刀徑原文）</t>
        </is>
      </c>
      <c r="O97" t="inlineStr">
        <is>
          <t>一般</t>
        </is>
      </c>
    </row>
    <row r="98">
      <c r="A98" t="inlineStr">
        <is>
          <t>SST255-75ATG</t>
        </is>
      </c>
      <c r="B98">
        <f>IMAGE("https://media.castorama.fr/is/image/Castorama/scie-sur-table-2000-w-diam-255-mm-scheppach-sst255-75atg-dition-black-edition-pi-tement-inclus~4046664169352_01c_MP?$MOB_PREV$&amp;$width=1200&amp;$height=1200")</f>
        <v/>
      </c>
      <c r="C98" t="inlineStr">
        <is>
          <t>OEM 品牌</t>
        </is>
      </c>
      <c r="D98" t="inlineStr">
        <is>
          <t>Scheppach</t>
        </is>
      </c>
      <c r="E98" t="inlineStr">
        <is>
          <t>3.Floor</t>
        </is>
      </c>
      <c r="F98" t="inlineStr"/>
      <c r="G98" t="inlineStr">
        <is>
          <t>No</t>
        </is>
      </c>
      <c r="H98" t="n">
        <v>255</v>
      </c>
      <c r="I98" t="inlineStr">
        <is>
          <t>Ø222~267mm</t>
        </is>
      </c>
      <c r="J98" t="n">
        <v>2000</v>
      </c>
      <c r="K98" t="n">
        <v>2950</v>
      </c>
      <c r="L98" t="inlineStr">
        <is>
          <t>https://www.castorama.fr/mkp/scie-sur-table-2000-w-diam-255-mm-scheppach-sst255-75atg-dition-black-edition-pi-tement-inclus/4046664169352_CAFR.prd</t>
        </is>
      </c>
      <c r="M98" s="2" t="n">
        <v>446.75</v>
      </c>
      <c r="N98" t="inlineStr">
        <is>
          <t>Castorama（FR）（促銷價：頁面現價 229、劃線原價 446.75（「t: 0 étoiles sur 5 à partir de 0 évaluation du pro」），採劃線原價（2026-10-22 表單））</t>
        </is>
      </c>
      <c r="O98" t="inlineStr">
        <is>
          <t>一般</t>
        </is>
      </c>
    </row>
    <row r="99">
      <c r="A99" t="inlineStr">
        <is>
          <t>TS10P</t>
        </is>
      </c>
      <c r="B99">
        <f>IMAGE("https://www.tooled-up.com/artwork/prodzoom/sealey_TS10P.V2_DFC0817640.jpg")</f>
        <v/>
      </c>
      <c r="C99" t="inlineStr">
        <is>
          <t>零售品牌</t>
        </is>
      </c>
      <c r="D99" t="inlineStr">
        <is>
          <t>Sealey</t>
        </is>
      </c>
      <c r="E99" t="inlineStr">
        <is>
          <t>3.Floor</t>
        </is>
      </c>
      <c r="F99" t="inlineStr">
        <is>
          <t>Single</t>
        </is>
      </c>
      <c r="G99" t="inlineStr">
        <is>
          <t>No</t>
        </is>
      </c>
      <c r="H99" t="n">
        <v>254</v>
      </c>
      <c r="I99" t="inlineStr">
        <is>
          <t>Ø222~267mm</t>
        </is>
      </c>
      <c r="J99" t="inlineStr"/>
      <c r="K99" t="n">
        <v>4500</v>
      </c>
      <c r="L99" t="inlineStr">
        <is>
          <t>https://www.tooled-up.com/sealey-ts10p-table-saw-254mm/prod/239325/</t>
        </is>
      </c>
      <c r="M99" s="2" t="n">
        <v>180.07</v>
      </c>
      <c r="N99" t="inlineStr">
        <is>
          <t>Tooled-Up（GB）；ManoMano.co.uk（GB）</t>
        </is>
      </c>
      <c r="O99" t="inlineStr">
        <is>
          <t>一般</t>
        </is>
      </c>
    </row>
    <row r="100">
      <c r="A100" t="inlineStr">
        <is>
          <t>01332</t>
        </is>
      </c>
      <c r="B100">
        <f>IMAGE("https://wowtools.2dimg.com/25/z3drmp0u_854209f523.jpg")</f>
        <v/>
      </c>
      <c r="C100" t="inlineStr">
        <is>
          <t>OEM 品牌</t>
        </is>
      </c>
      <c r="D100" t="inlineStr">
        <is>
          <t>SIP</t>
        </is>
      </c>
      <c r="E100" t="inlineStr">
        <is>
          <t>3.Floor</t>
        </is>
      </c>
      <c r="F100" t="inlineStr">
        <is>
          <t>Dual</t>
        </is>
      </c>
      <c r="G100" t="inlineStr">
        <is>
          <t>No</t>
        </is>
      </c>
      <c r="H100" t="n">
        <v>254</v>
      </c>
      <c r="I100" t="inlineStr">
        <is>
          <t>Ø222~267mm</t>
        </is>
      </c>
      <c r="J100" t="n">
        <v>1800</v>
      </c>
      <c r="K100" t="n">
        <v>4500</v>
      </c>
      <c r="L100" t="inlineStr">
        <is>
          <t>https://www.wowtools.co.uk/power-tools/saws/table-saws/sip-10-professional-cast-iron-table-saw-01332-1.htm</t>
        </is>
      </c>
      <c r="M100" s="2" t="n">
        <v>2014.52</v>
      </c>
      <c r="N100" t="inlineStr">
        <is>
          <t>WowTools（GB）；World of Power（GB）</t>
        </is>
      </c>
      <c r="O100" t="inlineStr">
        <is>
          <t>一般</t>
        </is>
      </c>
    </row>
    <row r="101">
      <c r="A101" t="inlineStr">
        <is>
          <t>01480</t>
        </is>
      </c>
      <c r="B101">
        <f>IMAGE("https://wowtools.2dimg.com/25/6498-extra-large-1_1acf7d0dc8.jpg")</f>
        <v/>
      </c>
      <c r="C101" t="inlineStr">
        <is>
          <t>OEM 品牌</t>
        </is>
      </c>
      <c r="D101" t="inlineStr">
        <is>
          <t>SIP</t>
        </is>
      </c>
      <c r="E101" t="inlineStr"/>
      <c r="F101" t="inlineStr">
        <is>
          <t>Single</t>
        </is>
      </c>
      <c r="G101" t="inlineStr">
        <is>
          <t>No</t>
        </is>
      </c>
      <c r="H101" t="n">
        <v>254</v>
      </c>
      <c r="I101" t="inlineStr">
        <is>
          <t>Ø222~267mm</t>
        </is>
      </c>
      <c r="J101" t="inlineStr"/>
      <c r="K101" t="inlineStr">
        <is>
          <t>4000</t>
        </is>
      </c>
      <c r="L101" t="inlineStr">
        <is>
          <t>https://www.wowtools.co.uk/power-tools/saws/table-saws/sip-10-quot-compact-cast-iron-table-saw.htm</t>
        </is>
      </c>
      <c r="M101" s="2" t="n">
        <v>1113.88</v>
      </c>
      <c r="N101" t="inlineStr">
        <is>
          <t>WowTools（GB）；World of Power（GB）；Homebase（GB）</t>
        </is>
      </c>
      <c r="O101" t="inlineStr">
        <is>
          <t>一般</t>
        </is>
      </c>
    </row>
    <row r="102">
      <c r="A102" t="inlineStr">
        <is>
          <t>01986</t>
        </is>
      </c>
      <c r="B102">
        <f>IMAGE("https://www.sitebox.ltd.uk/prodimages/SIP/medium/01986.main.jpg")</f>
        <v/>
      </c>
      <c r="C102" t="inlineStr">
        <is>
          <t>OEM 品牌</t>
        </is>
      </c>
      <c r="D102" t="inlineStr">
        <is>
          <t>SIP</t>
        </is>
      </c>
      <c r="E102" t="inlineStr">
        <is>
          <t>3.Floor</t>
        </is>
      </c>
      <c r="F102" t="inlineStr"/>
      <c r="G102" t="inlineStr">
        <is>
          <t>No</t>
        </is>
      </c>
      <c r="H102" t="n">
        <v>250</v>
      </c>
      <c r="I102" t="inlineStr">
        <is>
          <t>Ø222~267mm</t>
        </is>
      </c>
      <c r="J102" t="inlineStr"/>
      <c r="K102" t="n">
        <v>5000</v>
      </c>
      <c r="L102" t="inlineStr">
        <is>
          <t>https://sitebox.ltd.uk/sip-10-table-saw-and-stand-code-01986-osip_01986</t>
        </is>
      </c>
      <c r="M102" s="2" t="n">
        <v>223.96</v>
      </c>
      <c r="N102" t="inlineStr">
        <is>
          <t>Sitebox（GB）</t>
        </is>
      </c>
      <c r="O102" t="inlineStr">
        <is>
          <t>一般</t>
        </is>
      </c>
    </row>
    <row r="103">
      <c r="A103" t="inlineStr">
        <is>
          <t>1340 AA</t>
        </is>
      </c>
      <c r="B103">
        <f>IMAGE("https://www.obsbygg.no/globalassets/productimages/1076788_8719643004543_1.jpg?ref=ABDDDB3371")</f>
        <v/>
      </c>
      <c r="C103" t="inlineStr">
        <is>
          <t>OEM 品牌</t>
        </is>
      </c>
      <c r="D103" t="inlineStr">
        <is>
          <t>Skil</t>
        </is>
      </c>
      <c r="E103" t="inlineStr">
        <is>
          <t>3.Floor</t>
        </is>
      </c>
      <c r="F103" t="inlineStr"/>
      <c r="G103" t="inlineStr">
        <is>
          <t>No</t>
        </is>
      </c>
      <c r="H103" t="n">
        <v>254</v>
      </c>
      <c r="I103" t="inlineStr">
        <is>
          <t>Ø222~267mm</t>
        </is>
      </c>
      <c r="J103" t="n">
        <v>2000</v>
      </c>
      <c r="K103" t="inlineStr">
        <is>
          <t>4500</t>
        </is>
      </c>
      <c r="L103" t="inlineStr">
        <is>
          <t>https://www.obsbygg.no/verktoy-og-tilbehor/elektroverktoy/bordsager/2973511?v=ObsBygg-8719643004543</t>
        </is>
      </c>
      <c r="M103" s="2" t="n">
        <v>263.08</v>
      </c>
      <c r="N103" t="inlineStr">
        <is>
          <t>Obs Bygg（NO）；Tools &amp; Hardware（MT）（可預訂）；Skroutz（GR）</t>
        </is>
      </c>
      <c r="O103" t="inlineStr">
        <is>
          <t>一般</t>
        </is>
      </c>
    </row>
    <row r="104">
      <c r="A104" t="inlineStr">
        <is>
          <t>1343AA</t>
        </is>
      </c>
      <c r="B104">
        <f>IMAGE("https://mlo9n1oj0dxx.i.optimole.com/cb:mL8X.5621c/w:600/h:600/q:100/f:best/https://toolsandhardware.eu/wp-content/uploads/2026/09/BT1E1343AA.jpg")</f>
        <v/>
      </c>
      <c r="C104" t="inlineStr">
        <is>
          <t>OEM 品牌</t>
        </is>
      </c>
      <c r="D104" t="inlineStr">
        <is>
          <t>Skil</t>
        </is>
      </c>
      <c r="E104" t="inlineStr"/>
      <c r="F104" t="inlineStr"/>
      <c r="G104" t="inlineStr">
        <is>
          <t>No</t>
        </is>
      </c>
      <c r="H104" t="n">
        <v>254</v>
      </c>
      <c r="I104" t="inlineStr">
        <is>
          <t>Ø222~267mm</t>
        </is>
      </c>
      <c r="J104" t="n">
        <v>2000</v>
      </c>
      <c r="K104" t="n">
        <v>4500</v>
      </c>
      <c r="L104" t="inlineStr">
        <is>
          <t>https://toolsandhardware.eu/product/skil-1343aa-254mm-table-saw-with-rolling-stand-bt1e1343aa/</t>
        </is>
      </c>
      <c r="M104" s="2" t="n">
        <v>820.01</v>
      </c>
      <c r="N104" t="inlineStr">
        <is>
          <t>Tools &amp; Hardware（MT）（可預訂）；Ixtri.mt（MT）（跨境出貨（從 Malta 出貨））</t>
        </is>
      </c>
      <c r="O104" t="inlineStr">
        <is>
          <t>一般</t>
        </is>
      </c>
    </row>
    <row r="105">
      <c r="A105" t="inlineStr">
        <is>
          <t>BS2031</t>
        </is>
      </c>
      <c r="B105">
        <f>IMAGE("https://cdn.manomano.com/pim-media/images/medium/bd13d6ae695302f3636f908fda40cce20864056c.jpg")</f>
        <v/>
      </c>
      <c r="C105" t="inlineStr">
        <is>
          <t>零售品牌</t>
        </is>
      </c>
      <c r="D105" t="inlineStr">
        <is>
          <t>Valex</t>
        </is>
      </c>
      <c r="E105" t="inlineStr">
        <is>
          <t>3.Floor</t>
        </is>
      </c>
      <c r="F105" t="inlineStr"/>
      <c r="G105" t="inlineStr">
        <is>
          <t>No</t>
        </is>
      </c>
      <c r="H105" t="n">
        <v>250</v>
      </c>
      <c r="I105" t="inlineStr">
        <is>
          <t>Ø222~267mm</t>
        </is>
      </c>
      <c r="J105" t="n">
        <v>2000</v>
      </c>
      <c r="K105" t="inlineStr"/>
      <c r="L105" t="inlineStr">
        <is>
          <t>https://www.manomano.de/p/valex-bs2031-kreissge-fr-holz-mit-250-mm-sgeblatt-44186441</t>
        </is>
      </c>
      <c r="M105" s="2" t="n">
        <v>248.9</v>
      </c>
      <c r="N105" t="inlineStr">
        <is>
          <t>ManoMano.de（DE）；eBay.de（DE）</t>
        </is>
      </c>
      <c r="O105" t="inlineStr">
        <is>
          <t>一般</t>
        </is>
      </c>
    </row>
    <row r="106">
      <c r="A106" t="inlineStr">
        <is>
          <t>M1H-ZP12-254A-1</t>
        </is>
      </c>
      <c r="B106">
        <f>IMAGE("https://media.adeo.com/mkp/87f79ef5b422e7bb1e239a8bd61a7420/media.jpg")</f>
        <v/>
      </c>
      <c r="C106" t="inlineStr">
        <is>
          <t>零售品牌</t>
        </is>
      </c>
      <c r="D106" t="inlineStr">
        <is>
          <t>VEVOR</t>
        </is>
      </c>
      <c r="E106" t="inlineStr">
        <is>
          <t>3.Floor</t>
        </is>
      </c>
      <c r="F106" t="inlineStr">
        <is>
          <t>Dual</t>
        </is>
      </c>
      <c r="G106" t="inlineStr">
        <is>
          <t>No</t>
        </is>
      </c>
      <c r="H106" t="n">
        <v>254</v>
      </c>
      <c r="I106" t="inlineStr">
        <is>
          <t>Ø222~267mm</t>
        </is>
      </c>
      <c r="J106" t="n">
        <v>1800</v>
      </c>
      <c r="K106" t="n">
        <v>4400</v>
      </c>
      <c r="L106" t="inlineStr">
        <is>
          <t>https://www.darty.com/nav/achat/ref/MC351449752.html</t>
        </is>
      </c>
      <c r="M106" s="2" t="n">
        <v>263.99</v>
      </c>
      <c r="N106" t="inlineStr">
        <is>
          <t>Darty（FR）（跨境出貨（從 Pays d'expédition : France 出貨）；促銷價：頁面現價 173.99、劃線原價 263.99（「uf Pays d'expédition : France Vendeur européen Bon」），採劃線原價（2026-10-22 表單））；Leroy Merlin IT（IT）（促銷價：頁面現價 181.9、劃線原價 302.99（「60 mm 45° Vedi i dettagli del prodotto 1 recension」），採劃線原價（2026-10-22 表單））；Castorama（FR）（促銷價：頁面現價 192.99、劃線原價 319.99（「t: 0 étoiles sur 5 à partir de 0 évaluation du pro」），採劃線原價（2026-10-22 表單））</t>
        </is>
      </c>
      <c r="O106" t="inlineStr">
        <is>
          <t>一般</t>
        </is>
      </c>
    </row>
    <row r="107">
      <c r="A107" t="inlineStr">
        <is>
          <t>M1H-ZP5-254D-1</t>
        </is>
      </c>
      <c r="B107">
        <f>IMAGE("https://media.castorama.fr/is/image/Castorama/vevor-scie-circulaire-sur-table-avec-support-625-mm-1800w-coupe-transversale-85-mm-biseau-55-mm-~0840281561964_01c_MP?$MOB_PREV$&amp;$width=1200&amp;$height=1200")</f>
        <v/>
      </c>
      <c r="C107" t="inlineStr">
        <is>
          <t>零售品牌</t>
        </is>
      </c>
      <c r="D107" t="inlineStr">
        <is>
          <t>VEVOR</t>
        </is>
      </c>
      <c r="E107" t="inlineStr">
        <is>
          <t>3.Floor</t>
        </is>
      </c>
      <c r="F107" t="inlineStr"/>
      <c r="G107" t="inlineStr">
        <is>
          <t>No</t>
        </is>
      </c>
      <c r="H107" t="n">
        <v>254</v>
      </c>
      <c r="I107" t="inlineStr">
        <is>
          <t>Ø222~267mm</t>
        </is>
      </c>
      <c r="J107" t="n">
        <v>1800</v>
      </c>
      <c r="K107" t="n">
        <v>4800</v>
      </c>
      <c r="L107" t="inlineStr">
        <is>
          <t>https://www.manomano.de/p/vevor-tischkreissaege-4800u-min-1800w-schnitttiefe-55-85mm-parallelanschlag-70083313</t>
        </is>
      </c>
      <c r="M107" s="2" t="n">
        <v>291.99</v>
      </c>
      <c r="N107" t="inlineStr">
        <is>
          <t>ManoMano.de（DE）；Castorama（FR）（促銷價：頁面現價 267.04、劃線原價 506.99（「t: 0 étoiles sur 5 à partir de 0 évaluation du pro」），採劃線原價（2026-10-22 表單））；Darty（FR）（跨境出貨（從 Pays d'expédition : France 出貨）；促銷價：頁面現價 273.65、劃線原價 375.99（「uf Pays d'expédition : France Vendeur européen Bon」），採劃線原價（2026-10-22 表單））</t>
        </is>
      </c>
      <c r="O107" t="inlineStr">
        <is>
          <t>一般</t>
        </is>
      </c>
    </row>
    <row r="108">
      <c r="A108" t="inlineStr">
        <is>
          <t>VTS 1810</t>
        </is>
      </c>
      <c r="B108">
        <f>IMAGE("https://www.agromarket.rs/files/images/slike_proizvoda/054233.jpg")</f>
        <v/>
      </c>
      <c r="C108" t="inlineStr">
        <is>
          <t>零售品牌</t>
        </is>
      </c>
      <c r="D108" t="inlineStr">
        <is>
          <t>Villager</t>
        </is>
      </c>
      <c r="E108" t="inlineStr"/>
      <c r="F108" t="inlineStr"/>
      <c r="G108" t="inlineStr">
        <is>
          <t>No</t>
        </is>
      </c>
      <c r="H108" t="n">
        <v>250</v>
      </c>
      <c r="I108" t="inlineStr">
        <is>
          <t>Ø222~267mm</t>
        </is>
      </c>
      <c r="J108" t="n">
        <v>1800</v>
      </c>
      <c r="K108" t="n">
        <v>5000</v>
      </c>
      <c r="L108" t="inlineStr">
        <is>
          <t>https://www.agromarket.rs/stacionarne-masine/9827-stoni-cirkular-villager-vts-1810</t>
        </is>
      </c>
      <c r="M108" s="2" t="n">
        <v>234.21</v>
      </c>
      <c r="N108" t="inlineStr">
        <is>
          <t>Agromarket（RS）</t>
        </is>
      </c>
      <c r="O108" t="inlineStr">
        <is>
          <t>一般</t>
        </is>
      </c>
    </row>
    <row r="109">
      <c r="A109" t="inlineStr">
        <is>
          <t>TS504AC</t>
        </is>
      </c>
      <c r="B109">
        <f>IMAGE("https://d2fb1ew6v6wv87.cloudfront.net/products/10543817/s00/1400x1400/origin.webp")</f>
        <v/>
      </c>
      <c r="C109" t="inlineStr">
        <is>
          <t>零售品牌</t>
        </is>
      </c>
      <c r="D109" t="inlineStr">
        <is>
          <t>VONROC</t>
        </is>
      </c>
      <c r="E109" t="inlineStr">
        <is>
          <t>3.Floor</t>
        </is>
      </c>
      <c r="F109" t="inlineStr"/>
      <c r="G109" t="inlineStr">
        <is>
          <t>No</t>
        </is>
      </c>
      <c r="H109" t="n">
        <v>250</v>
      </c>
      <c r="I109" t="inlineStr">
        <is>
          <t>Ø222~267mm</t>
        </is>
      </c>
      <c r="J109" t="n">
        <v>2000</v>
      </c>
      <c r="K109" t="n">
        <v>5000</v>
      </c>
      <c r="L109" t="inlineStr">
        <is>
          <t>https://www.praxis.nl/gereedschap-werkplaats/elektrisch-gereedschap/zaagmachines/zaagtafels/vonroc-zaagtafel-2000w-250mm-zaaghoek-instelbaar-soft-start-incl-60t-zaagblad-en-onderstel/10543817</t>
        </is>
      </c>
      <c r="M109" s="2" t="n">
        <v>174.95</v>
      </c>
      <c r="N109" t="inlineStr">
        <is>
          <t>Praxis（NL）</t>
        </is>
      </c>
      <c r="O109" t="inlineStr">
        <is>
          <t>一般</t>
        </is>
      </c>
    </row>
    <row r="110">
      <c r="A110" t="inlineStr">
        <is>
          <t>YT-82165</t>
        </is>
      </c>
      <c r="B110">
        <f>IMAGE("https://a.scdn.gr/images/sku_main_images/023931/23931534/20200707160005_yato_yt_82165.jpeg")</f>
        <v/>
      </c>
      <c r="C110" t="inlineStr">
        <is>
          <t>零售品牌</t>
        </is>
      </c>
      <c r="D110" t="inlineStr">
        <is>
          <t>Yato</t>
        </is>
      </c>
      <c r="E110" t="inlineStr"/>
      <c r="F110" t="inlineStr"/>
      <c r="G110" t="inlineStr">
        <is>
          <t>No</t>
        </is>
      </c>
      <c r="H110" t="n">
        <v>250</v>
      </c>
      <c r="I110" t="inlineStr">
        <is>
          <t>Ø222~267mm</t>
        </is>
      </c>
      <c r="J110" t="n">
        <v>1800</v>
      </c>
      <c r="K110" t="n">
        <v>5000</v>
      </c>
      <c r="L110" t="inlineStr">
        <is>
          <t>https://www.skroutz.gr/s/23931534/Yato-YT-82165-Diskopriono-Pagou-me-Ischy-1800W-Disko-Kopis-Diametrou-250mm.html</t>
        </is>
      </c>
      <c r="M110" s="2" t="n">
        <v>236.61</v>
      </c>
      <c r="N110" t="inlineStr">
        <is>
          <t>Skroutz（GR）；ManoMano ES（ES）</t>
        </is>
      </c>
      <c r="O110" t="inlineStr">
        <is>
          <t>一般</t>
        </is>
      </c>
    </row>
  </sheetData>
  <autoFilter ref="A1:O110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  <hyperlink xmlns:r="http://schemas.openxmlformats.org/officeDocument/2006/relationships" ref="L78" r:id="rId77"/>
    <hyperlink xmlns:r="http://schemas.openxmlformats.org/officeDocument/2006/relationships" ref="L79" r:id="rId78"/>
    <hyperlink xmlns:r="http://schemas.openxmlformats.org/officeDocument/2006/relationships" ref="L80" r:id="rId79"/>
    <hyperlink xmlns:r="http://schemas.openxmlformats.org/officeDocument/2006/relationships" ref="L81" r:id="rId80"/>
    <hyperlink xmlns:r="http://schemas.openxmlformats.org/officeDocument/2006/relationships" ref="L82" r:id="rId81"/>
    <hyperlink xmlns:r="http://schemas.openxmlformats.org/officeDocument/2006/relationships" ref="L83" r:id="rId82"/>
    <hyperlink xmlns:r="http://schemas.openxmlformats.org/officeDocument/2006/relationships" ref="L84" r:id="rId83"/>
    <hyperlink xmlns:r="http://schemas.openxmlformats.org/officeDocument/2006/relationships" ref="L85" r:id="rId84"/>
    <hyperlink xmlns:r="http://schemas.openxmlformats.org/officeDocument/2006/relationships" ref="L86" r:id="rId85"/>
    <hyperlink xmlns:r="http://schemas.openxmlformats.org/officeDocument/2006/relationships" ref="L87" r:id="rId86"/>
    <hyperlink xmlns:r="http://schemas.openxmlformats.org/officeDocument/2006/relationships" ref="L88" r:id="rId87"/>
    <hyperlink xmlns:r="http://schemas.openxmlformats.org/officeDocument/2006/relationships" ref="L89" r:id="rId88"/>
    <hyperlink xmlns:r="http://schemas.openxmlformats.org/officeDocument/2006/relationships" ref="L90" r:id="rId89"/>
    <hyperlink xmlns:r="http://schemas.openxmlformats.org/officeDocument/2006/relationships" ref="L91" r:id="rId90"/>
    <hyperlink xmlns:r="http://schemas.openxmlformats.org/officeDocument/2006/relationships" ref="L92" r:id="rId91"/>
    <hyperlink xmlns:r="http://schemas.openxmlformats.org/officeDocument/2006/relationships" ref="L93" r:id="rId92"/>
    <hyperlink xmlns:r="http://schemas.openxmlformats.org/officeDocument/2006/relationships" ref="L94" r:id="rId93"/>
    <hyperlink xmlns:r="http://schemas.openxmlformats.org/officeDocument/2006/relationships" ref="L95" r:id="rId94"/>
    <hyperlink xmlns:r="http://schemas.openxmlformats.org/officeDocument/2006/relationships" ref="L96" r:id="rId95"/>
    <hyperlink xmlns:r="http://schemas.openxmlformats.org/officeDocument/2006/relationships" ref="L97" r:id="rId96"/>
    <hyperlink xmlns:r="http://schemas.openxmlformats.org/officeDocument/2006/relationships" ref="L98" r:id="rId97"/>
    <hyperlink xmlns:r="http://schemas.openxmlformats.org/officeDocument/2006/relationships" ref="L99" r:id="rId98"/>
    <hyperlink xmlns:r="http://schemas.openxmlformats.org/officeDocument/2006/relationships" ref="L100" r:id="rId99"/>
    <hyperlink xmlns:r="http://schemas.openxmlformats.org/officeDocument/2006/relationships" ref="L101" r:id="rId100"/>
    <hyperlink xmlns:r="http://schemas.openxmlformats.org/officeDocument/2006/relationships" ref="L102" r:id="rId101"/>
    <hyperlink xmlns:r="http://schemas.openxmlformats.org/officeDocument/2006/relationships" ref="L103" r:id="rId102"/>
    <hyperlink xmlns:r="http://schemas.openxmlformats.org/officeDocument/2006/relationships" ref="L104" r:id="rId103"/>
    <hyperlink xmlns:r="http://schemas.openxmlformats.org/officeDocument/2006/relationships" ref="L105" r:id="rId104"/>
    <hyperlink xmlns:r="http://schemas.openxmlformats.org/officeDocument/2006/relationships" ref="L106" r:id="rId105"/>
    <hyperlink xmlns:r="http://schemas.openxmlformats.org/officeDocument/2006/relationships" ref="L107" r:id="rId106"/>
    <hyperlink xmlns:r="http://schemas.openxmlformats.org/officeDocument/2006/relationships" ref="L108" r:id="rId107"/>
    <hyperlink xmlns:r="http://schemas.openxmlformats.org/officeDocument/2006/relationships" ref="L109" r:id="rId108"/>
    <hyperlink xmlns:r="http://schemas.openxmlformats.org/officeDocument/2006/relationships" ref="L110" r:id="rId109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64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Brand</t>
        </is>
      </c>
      <c r="B1" s="3" t="inlineStr">
        <is>
          <t>Model #</t>
        </is>
      </c>
      <c r="C1" s="3" t="inlineStr">
        <is>
          <t>產品線</t>
        </is>
      </c>
      <c r="D1" s="3" t="inlineStr">
        <is>
          <t>Blade Diameter</t>
        </is>
      </c>
      <c r="E1" s="3" t="inlineStr">
        <is>
          <t>原因</t>
        </is>
      </c>
      <c r="F1" s="3" t="inlineStr">
        <is>
          <t>Source</t>
        </is>
      </c>
      <c r="G1" s="3" t="inlineStr">
        <is>
          <t>國家</t>
        </is>
      </c>
    </row>
    <row r="2">
      <c r="A2" t="inlineStr"/>
      <c r="B2" t="inlineStr"/>
      <c r="C2" t="inlineStr">
        <is>
          <t>sliding</t>
        </is>
      </c>
      <c r="D2" t="n">
        <v>255</v>
      </c>
      <c r="E2" t="inlineStr">
        <is>
          <t>來源頁看不到型號</t>
        </is>
      </c>
      <c r="F2" t="inlineStr">
        <is>
          <t>https://www.bricodepot.fr/p/0849713073754/scie-a-onglet-radiale-255-mm-2-000-w</t>
        </is>
      </c>
      <c r="G2" t="inlineStr">
        <is>
          <t>FR</t>
        </is>
      </c>
    </row>
    <row r="3">
      <c r="A3" t="inlineStr"/>
      <c r="B3" t="inlineStr"/>
      <c r="C3" t="inlineStr">
        <is>
          <t>table</t>
        </is>
      </c>
      <c r="D3" t="n">
        <v>254</v>
      </c>
      <c r="E3" t="inlineStr">
        <is>
          <t>來源頁看不到型號</t>
        </is>
      </c>
      <c r="F3" t="inlineStr">
        <is>
          <t>https://www.bricodepot.fr/p/5059340270074/scie-sur-table-254-mm-1-800-w</t>
        </is>
      </c>
      <c r="G3" t="inlineStr">
        <is>
          <t>FR</t>
        </is>
      </c>
    </row>
    <row r="4">
      <c r="A4" t="inlineStr"/>
      <c r="B4" t="inlineStr"/>
      <c r="C4" t="inlineStr">
        <is>
          <t>compound</t>
        </is>
      </c>
      <c r="E4" t="inlineStr">
        <is>
          <t>來源頁看不到型號；來源頁看不到刀片直徑</t>
        </is>
      </c>
      <c r="F4" t="inlineStr">
        <is>
          <t>https://www.hepsiburada.com/cift-yatarli-gonye-kesme-makinesi-255-mm-1800-w-guc-pm-HBC0000N1L25K</t>
        </is>
      </c>
      <c r="G4" t="inlineStr">
        <is>
          <t>TR</t>
        </is>
      </c>
    </row>
    <row r="5">
      <c r="A5" t="inlineStr"/>
      <c r="B5" t="inlineStr"/>
      <c r="C5" t="inlineStr">
        <is>
          <t>compound</t>
        </is>
      </c>
      <c r="E5" t="inlineStr">
        <is>
          <t>來源頁看不到型號；來源頁看不到刀片直徑</t>
        </is>
      </c>
      <c r="F5" t="inlineStr">
        <is>
          <t>https://www.hepsiburada.com/cift-yatarli-gonye-kesme-makinesi-255-mm-1800-w-guc-pm-HBC0000ICAZND</t>
        </is>
      </c>
      <c r="G5" t="inlineStr">
        <is>
          <t>TR</t>
        </is>
      </c>
    </row>
    <row r="6">
      <c r="A6" t="inlineStr"/>
      <c r="B6" t="inlineStr"/>
      <c r="C6" t="inlineStr">
        <is>
          <t>compound</t>
        </is>
      </c>
      <c r="E6" t="inlineStr">
        <is>
          <t>來源頁看不到型號；來源頁看不到刀片直徑</t>
        </is>
      </c>
      <c r="F6" t="inlineStr">
        <is>
          <t>https://www.hepsiburada.com/cift-yatarli-gonye-kesme-makinesi-255-mm-1800-w-guc-pm-HBC0000I9N5F4</t>
        </is>
      </c>
      <c r="G6" t="inlineStr">
        <is>
          <t>TR</t>
        </is>
      </c>
    </row>
    <row r="7">
      <c r="A7" t="inlineStr"/>
      <c r="B7" t="inlineStr"/>
      <c r="C7" t="inlineStr">
        <is>
          <t>undetermined</t>
        </is>
      </c>
      <c r="E7" t="inlineStr">
        <is>
          <t>來源頁看不到型號；來源頁看不到刀片直徑；產品線判不出（來源頁看不出有沒有滑軌）；沒有可用的含稅售價</t>
        </is>
      </c>
      <c r="F7" t="inlineStr">
        <is>
          <t>https://www.obi-italia.it/p/5567482/lama-per-sega-circolare-hm-250x30-mm-60-denti</t>
        </is>
      </c>
      <c r="G7" t="inlineStr">
        <is>
          <t>IT</t>
        </is>
      </c>
    </row>
    <row r="8">
      <c r="A8" t="inlineStr"/>
      <c r="B8" t="inlineStr"/>
      <c r="C8" t="inlineStr">
        <is>
          <t>table</t>
        </is>
      </c>
      <c r="D8" t="n">
        <v>250</v>
      </c>
      <c r="E8" t="inlineStr">
        <is>
          <t>來源頁看不到型號</t>
        </is>
      </c>
      <c r="F8" t="inlineStr">
        <is>
          <t>https://www.leroymerlin.it/prodotti/sega-circolare-lama-6-da-250-mm-90772716.html</t>
        </is>
      </c>
      <c r="G8" t="inlineStr">
        <is>
          <t>IT</t>
        </is>
      </c>
    </row>
    <row r="9">
      <c r="A9" t="inlineStr"/>
      <c r="B9" t="inlineStr"/>
      <c r="C9" t="inlineStr">
        <is>
          <t>sliding</t>
        </is>
      </c>
      <c r="D9" t="n">
        <v>254</v>
      </c>
      <c r="E9" t="inlineStr">
        <is>
          <t>來源頁看不到型號</t>
        </is>
      </c>
      <c r="F9" t="inlineStr">
        <is>
          <t>https://www.diy.com/departments/sliding-compound-mitre-saw-with-255mm-40-tooth-tct-blade-2000w-motor/5056581922038_BQ.prd</t>
        </is>
      </c>
      <c r="G9" t="inlineStr">
        <is>
          <t>GB</t>
        </is>
      </c>
    </row>
    <row r="10">
      <c r="A10" t="inlineStr"/>
      <c r="B10" t="inlineStr">
        <is>
          <t>KGS 18 LTX BL 254</t>
        </is>
      </c>
      <c r="C10" t="inlineStr">
        <is>
          <t>sliding</t>
        </is>
      </c>
      <c r="D10" t="n">
        <v>254</v>
      </c>
      <c r="E10" t="inlineStr">
        <is>
          <t>交期 10 天以上（A domicilio - Del 20 al 23 de nov. - Gra）</t>
        </is>
      </c>
      <c r="F10" t="inlineStr">
        <is>
          <t>https://www.manomano.es/p/kgs-18-ltx-bl-254-tapaw-de-bateria-2x-bateria-52-ah-cargador-73844682</t>
        </is>
      </c>
      <c r="G10" t="inlineStr">
        <is>
          <t>ES</t>
        </is>
      </c>
    </row>
    <row r="11">
      <c r="A11" t="inlineStr"/>
      <c r="B11" t="inlineStr">
        <is>
          <t>KS 120 REB-Set-Ug</t>
        </is>
      </c>
      <c r="C11" t="inlineStr">
        <is>
          <t>undetermined</t>
        </is>
      </c>
      <c r="E11" t="inlineStr">
        <is>
          <t>來源頁看不到刀片直徑；產品線判不出（來源頁看不出有沒有滑軌）；套裝價（含其他物品），不算機台價（10-19 表單）</t>
        </is>
      </c>
      <c r="F11" t="inlineStr">
        <is>
          <t>https://www.galaxus.nl/nl/s4/product/ks-120-reb-set-ug-afkortzaag-onderstel-aanslagen-575313-radiale-snijders-35600496</t>
        </is>
      </c>
      <c r="G11" t="inlineStr">
        <is>
          <t>NL</t>
        </is>
      </c>
    </row>
    <row r="12">
      <c r="A12" t="inlineStr"/>
      <c r="B12" t="inlineStr">
        <is>
          <t>KS 60 E</t>
        </is>
      </c>
      <c r="C12" t="inlineStr">
        <is>
          <t>undetermined</t>
        </is>
      </c>
      <c r="E12" t="inlineStr">
        <is>
          <t>來源頁看不到刀片直徑；產品線判不出（來源頁看不出有沒有滑軌）</t>
        </is>
      </c>
      <c r="F12" t="inlineStr">
        <is>
          <t>https://www.galaxus.nl/nl/s4/product/ks-60-e-afkortzaag-230v-1200w-561683-radiale-snijders-32628860</t>
        </is>
      </c>
      <c r="G12" t="inlineStr">
        <is>
          <t>NL</t>
        </is>
      </c>
    </row>
    <row r="13">
      <c r="A13" t="inlineStr"/>
      <c r="B13" t="inlineStr">
        <is>
          <t>TCMS255</t>
        </is>
      </c>
      <c r="C13" t="inlineStr">
        <is>
          <t>sliding</t>
        </is>
      </c>
      <c r="D13" t="n">
        <v>254</v>
      </c>
      <c r="E13" t="inlineStr">
        <is>
          <t>沒有可用的含稅售價</t>
        </is>
      </c>
      <c r="F13" t="inlineStr">
        <is>
          <t>https://www.tritontools.com/collections/power-saws/products/694475</t>
        </is>
      </c>
      <c r="G13" t="inlineStr">
        <is>
          <t>GB</t>
        </is>
      </c>
    </row>
    <row r="14">
      <c r="A14" t="inlineStr">
        <is>
          <t>AEG</t>
        </is>
      </c>
      <c r="B14" t="inlineStr">
        <is>
          <t>PS254DBE</t>
        </is>
      </c>
      <c r="C14" t="inlineStr">
        <is>
          <t>sliding</t>
        </is>
      </c>
      <c r="D14" t="n">
        <v>254</v>
      </c>
      <c r="E14" t="inlineStr">
        <is>
          <t>交期 10 天以上（Entre le 30/10/2026 et le 03/11/2026）</t>
        </is>
      </c>
      <c r="F14" t="inlineStr">
        <is>
          <t>https://www.bricozor.com/p-88293-scie-a-onglet-radiale-1800w-o-254-mm-ps254dbe-aeg-powertools.html</t>
        </is>
      </c>
      <c r="G14" t="inlineStr">
        <is>
          <t>FR</t>
        </is>
      </c>
    </row>
    <row r="15">
      <c r="A15" t="inlineStr">
        <is>
          <t>Atika</t>
        </is>
      </c>
      <c r="B15" t="inlineStr">
        <is>
          <t>BTU 450</t>
        </is>
      </c>
      <c r="C15" t="inlineStr">
        <is>
          <t>table</t>
        </is>
      </c>
      <c r="D15" t="n">
        <v>450</v>
      </c>
      <c r="E15" t="inlineStr">
        <is>
          <t>刀片直徑不在 222～267 mm</t>
        </is>
      </c>
      <c r="F15" t="inlineStr">
        <is>
          <t>https://www.hornbach.at/p/baukreissaege-atika-btu-450-400v/8162827/</t>
        </is>
      </c>
      <c r="G15" t="inlineStr">
        <is>
          <t>AT</t>
        </is>
      </c>
    </row>
    <row r="16">
      <c r="A16" t="inlineStr">
        <is>
          <t>Atika</t>
        </is>
      </c>
      <c r="B16" t="inlineStr">
        <is>
          <t>HT315</t>
        </is>
      </c>
      <c r="C16" t="inlineStr">
        <is>
          <t>table</t>
        </is>
      </c>
      <c r="D16" t="n">
        <v>315</v>
      </c>
      <c r="E16" t="inlineStr">
        <is>
          <t>刀片直徑不在 222～267 mm</t>
        </is>
      </c>
      <c r="F16" t="inlineStr">
        <is>
          <t>https://www.hornbach.ch/de/p/atika-tischkreissaege-ht315-2-0-kw/5771864/</t>
        </is>
      </c>
      <c r="G16" t="inlineStr">
        <is>
          <t>CH</t>
        </is>
      </c>
    </row>
    <row r="17">
      <c r="A17" t="inlineStr">
        <is>
          <t>Atika</t>
        </is>
      </c>
      <c r="B17" t="inlineStr">
        <is>
          <t>KGS 210 N</t>
        </is>
      </c>
      <c r="C17" t="inlineStr">
        <is>
          <t>compound</t>
        </is>
      </c>
      <c r="D17" t="n">
        <v>210</v>
      </c>
      <c r="E17" t="inlineStr">
        <is>
          <t>刀片直徑不在 222～267 mm</t>
        </is>
      </c>
      <c r="F17" t="inlineStr">
        <is>
          <t>https://www.hornbach.de/p/kapp-und-gehrungssaege-atika-kgs-210-n-inkl-saegeblatt/8675457/</t>
        </is>
      </c>
      <c r="G17" t="inlineStr">
        <is>
          <t>DE</t>
        </is>
      </c>
    </row>
    <row r="18">
      <c r="A18" t="inlineStr">
        <is>
          <t>Bamato</t>
        </is>
      </c>
      <c r="B18" t="inlineStr">
        <is>
          <t>BCS-500PRO</t>
        </is>
      </c>
      <c r="C18" t="inlineStr">
        <is>
          <t>table</t>
        </is>
      </c>
      <c r="D18" t="n">
        <v>500</v>
      </c>
      <c r="E18" t="inlineStr">
        <is>
          <t>刀片直徑不在 222～267 mm</t>
        </is>
      </c>
      <c r="F18" t="inlineStr">
        <is>
          <t>https://www.hornbach.de/p/bamato-tischkreissaege-bcs-500pro-inklusive-500mm-hm-saegeblatt-mit-44-zaehnen-querschneidvorrichtung-klappbar-und-winkelverstellbar-baukreissaege-tischsaege/12604334/</t>
        </is>
      </c>
      <c r="G18" t="inlineStr">
        <is>
          <t>DE</t>
        </is>
      </c>
    </row>
    <row r="19">
      <c r="A19" t="inlineStr">
        <is>
          <t>Bamato</t>
        </is>
      </c>
      <c r="B19" t="inlineStr">
        <is>
          <t>BFKS-2000</t>
        </is>
      </c>
      <c r="C19" t="inlineStr">
        <is>
          <t>table</t>
        </is>
      </c>
      <c r="D19" t="n">
        <v>315</v>
      </c>
      <c r="E19" t="inlineStr">
        <is>
          <t>刀片直徑不在 222～267 mm</t>
        </is>
      </c>
      <c r="F19" t="inlineStr">
        <is>
          <t>https://www.hornbach.de/p/bamato-formatkreissaege-bfks-2000-inkl-xxl-lieferumfang-serienmaessiger-vorritzeinheit-stabiler-parallelanschlag-schnittbreiten-bis-1220mm-formatkreissaege-mit-schiebeschlitten/12611799/</t>
        </is>
      </c>
      <c r="G19" t="inlineStr">
        <is>
          <t>DE</t>
        </is>
      </c>
    </row>
    <row r="20">
      <c r="A20" t="inlineStr">
        <is>
          <t>Bamato</t>
        </is>
      </c>
      <c r="B20" t="inlineStr">
        <is>
          <t>BTS-315</t>
        </is>
      </c>
      <c r="C20" t="inlineStr">
        <is>
          <t>table</t>
        </is>
      </c>
      <c r="D20" t="n">
        <v>315</v>
      </c>
      <c r="E20" t="inlineStr">
        <is>
          <t>刀片直徑不在 222～267 mm</t>
        </is>
      </c>
      <c r="F20" t="inlineStr">
        <is>
          <t>https://www.hornbach.de/p/bamato-bts-315-tischkreissaege-230v-inklusive-xxl-lieferumfang-stabiler-parallelanschlag-neigung-bis-45-schnittbreiten-bis-600-mm-kreissaege-baukreissaege/12611798/</t>
        </is>
      </c>
      <c r="G20" t="inlineStr">
        <is>
          <t>DE</t>
        </is>
      </c>
    </row>
    <row r="21">
      <c r="A21" t="inlineStr">
        <is>
          <t>Bamato</t>
        </is>
      </c>
      <c r="B21" t="inlineStr">
        <is>
          <t>KP-350PRO</t>
        </is>
      </c>
      <c r="C21" t="inlineStr">
        <is>
          <t>sliding</t>
        </is>
      </c>
      <c r="D21" t="n">
        <v>305</v>
      </c>
      <c r="E21" t="inlineStr">
        <is>
          <t>刀片直徑不在 222～267 mm；套裝價（含其他物品），不算機台價（10-19 表單）</t>
        </is>
      </c>
      <c r="F21" t="inlineStr">
        <is>
          <t>https://www.hornbach.de/p/bamato-kappsaegen-set-kp-350prokst-1950-inkl-kappsaege-kp-350pro-und-maschinenstaender-kst-1950/12612646/</t>
        </is>
      </c>
      <c r="G21" t="inlineStr">
        <is>
          <t>DE</t>
        </is>
      </c>
    </row>
    <row r="22">
      <c r="A22" t="inlineStr">
        <is>
          <t>Bernardo</t>
        </is>
      </c>
      <c r="B22" t="inlineStr">
        <is>
          <t>BKS 500</t>
        </is>
      </c>
      <c r="C22" t="inlineStr">
        <is>
          <t>table</t>
        </is>
      </c>
      <c r="D22" t="n">
        <v>500</v>
      </c>
      <c r="E22" t="inlineStr">
        <is>
          <t>刀片直徑不在 222～267 mm</t>
        </is>
      </c>
      <c r="F22" t="inlineStr">
        <is>
          <t>https://www.krollit.it/products/sega-da-banco-bks-500-400v</t>
        </is>
      </c>
      <c r="G22" t="inlineStr">
        <is>
          <t>IT</t>
        </is>
      </c>
    </row>
    <row r="23">
      <c r="A23" t="inlineStr">
        <is>
          <t>Bernardo</t>
        </is>
      </c>
      <c r="B23" t="inlineStr">
        <is>
          <t>FK 250 ST</t>
        </is>
      </c>
      <c r="C23" t="inlineStr">
        <is>
          <t>undetermined</t>
        </is>
      </c>
      <c r="E23" t="inlineStr">
        <is>
          <t>來源頁看不到刀片直徑；產品線判不出（來源頁看不出有沒有滑軌）；複合機（翻轉鋸或上方附台的斜切鋸）不收</t>
        </is>
      </c>
      <c r="F23" t="inlineStr">
        <is>
          <t>https://www.krollit.it/products/sega-fresatrice-fk-250st-400v</t>
        </is>
      </c>
      <c r="G23" t="inlineStr">
        <is>
          <t>IT</t>
        </is>
      </c>
    </row>
    <row r="24">
      <c r="A24" t="inlineStr">
        <is>
          <t>Bernardo</t>
        </is>
      </c>
      <c r="B24" t="inlineStr">
        <is>
          <t>TK 200 PRO</t>
        </is>
      </c>
      <c r="C24" t="inlineStr">
        <is>
          <t>table</t>
        </is>
      </c>
      <c r="D24" t="n">
        <v>200</v>
      </c>
      <c r="E24" t="inlineStr">
        <is>
          <t>刀片直徑不在 222～267 mm；只有缺貨的價格</t>
        </is>
      </c>
      <c r="F24" t="inlineStr">
        <is>
          <t>https://www.krollit.it/products/sega-da-banco-tk-200-pro-230v</t>
        </is>
      </c>
      <c r="G24" t="inlineStr">
        <is>
          <t>IT</t>
        </is>
      </c>
    </row>
    <row r="25">
      <c r="A25" t="inlineStr">
        <is>
          <t>Bernardo</t>
        </is>
      </c>
      <c r="B25" t="inlineStr">
        <is>
          <t>TK 200 RSN</t>
        </is>
      </c>
      <c r="C25" t="inlineStr">
        <is>
          <t>table</t>
        </is>
      </c>
      <c r="D25" t="n">
        <v>200</v>
      </c>
      <c r="E25" t="inlineStr">
        <is>
          <t>刀片直徑不在 222～267 mm</t>
        </is>
      </c>
      <c r="F25" t="inlineStr">
        <is>
          <t>https://www.krollit.it/products/sega-da-banco-tk-200-rsn-230v</t>
        </is>
      </c>
      <c r="G25" t="inlineStr">
        <is>
          <t>IT</t>
        </is>
      </c>
    </row>
    <row r="26">
      <c r="A26" t="inlineStr">
        <is>
          <t>Bernardo</t>
        </is>
      </c>
      <c r="B26" t="inlineStr">
        <is>
          <t>TK 250 PRO</t>
        </is>
      </c>
      <c r="C26" t="inlineStr">
        <is>
          <t>table</t>
        </is>
      </c>
      <c r="E26" t="inlineStr">
        <is>
          <t>來源頁看不到刀片直徑</t>
        </is>
      </c>
      <c r="F26" t="inlineStr">
        <is>
          <t>https://www.krollit.it/products/sega-da-banco-tk-250-pro-230v</t>
        </is>
      </c>
      <c r="G26" t="inlineStr">
        <is>
          <t>IT</t>
        </is>
      </c>
    </row>
    <row r="27">
      <c r="A27" t="inlineStr">
        <is>
          <t>Bernardo</t>
        </is>
      </c>
      <c r="B27" t="inlineStr">
        <is>
          <t>TK 250 RSN</t>
        </is>
      </c>
      <c r="C27" t="inlineStr">
        <is>
          <t>table</t>
        </is>
      </c>
      <c r="E27" t="inlineStr">
        <is>
          <t>來源頁看不到刀片直徑</t>
        </is>
      </c>
      <c r="F27" t="inlineStr">
        <is>
          <t>https://www.krollit.it/products/sega-da-banco-tk-250-rsn-230v</t>
        </is>
      </c>
      <c r="G27" t="inlineStr">
        <is>
          <t>IT</t>
        </is>
      </c>
    </row>
    <row r="28">
      <c r="A28" t="inlineStr">
        <is>
          <t>Bernardo</t>
        </is>
      </c>
      <c r="B28" t="inlineStr">
        <is>
          <t>TMS 255</t>
        </is>
      </c>
      <c r="C28" t="inlineStr">
        <is>
          <t>compound</t>
        </is>
      </c>
      <c r="D28" t="n">
        <v>255</v>
      </c>
      <c r="E28" t="inlineStr">
        <is>
          <t>複合機（翻轉鋸或上方附台的斜切鋸）不收；交期 10 天以上（Lieferzeit: 15-30 Werktage）</t>
        </is>
      </c>
      <c r="F28" t="inlineStr">
        <is>
          <t>https://www.dineiger.com/Bernardo-TMS-255-Tisch--und-Kappsaegen.html</t>
        </is>
      </c>
      <c r="G28" t="inlineStr">
        <is>
          <t>DE</t>
        </is>
      </c>
    </row>
    <row r="29">
      <c r="A29" t="inlineStr">
        <is>
          <t>Bernardo</t>
        </is>
      </c>
      <c r="B29" t="inlineStr">
        <is>
          <t>UZT 400</t>
        </is>
      </c>
      <c r="C29" t="inlineStr">
        <is>
          <t>undetermined</t>
        </is>
      </c>
      <c r="E29" t="inlineStr">
        <is>
          <t>來源頁看不到刀片直徑；產品線判不出（來源頁看不出有沒有滑軌）</t>
        </is>
      </c>
      <c r="F29" t="inlineStr">
        <is>
          <t>https://www.krollit.it/products/sega-da-banco-uzt-400-400v</t>
        </is>
      </c>
      <c r="G29" t="inlineStr">
        <is>
          <t>IT</t>
        </is>
      </c>
    </row>
    <row r="30">
      <c r="A30" t="inlineStr">
        <is>
          <t>Bernardo</t>
        </is>
      </c>
      <c r="B30" t="inlineStr">
        <is>
          <t>ZKG 255 D</t>
        </is>
      </c>
      <c r="C30" t="inlineStr">
        <is>
          <t>sliding</t>
        </is>
      </c>
      <c r="D30" t="n">
        <v>255</v>
      </c>
      <c r="E30" t="inlineStr">
        <is>
          <t>交期 10 天以上（31-48 Werktage (Ausland abweichend)）</t>
        </is>
      </c>
      <c r="F30" t="inlineStr">
        <is>
          <t>https://www.dineiger.com/bernardo-zug-kapp-und-doppelgehrungssaegen-zkg-255-d.html</t>
        </is>
      </c>
      <c r="G30" t="inlineStr">
        <is>
          <t>DE</t>
        </is>
      </c>
    </row>
    <row r="31">
      <c r="A31" t="inlineStr">
        <is>
          <t>Black+Decker</t>
        </is>
      </c>
      <c r="B31" t="inlineStr">
        <is>
          <t>BES701</t>
        </is>
      </c>
      <c r="C31" t="inlineStr">
        <is>
          <t>sliding</t>
        </is>
      </c>
      <c r="D31" t="n">
        <v>216</v>
      </c>
      <c r="E31" t="inlineStr">
        <is>
          <t>刀片直徑不在 222～267 mm</t>
        </is>
      </c>
      <c r="F31" t="inlineStr">
        <is>
          <t>https://www.obi-italia.it/p/5551239/troncatrice-radiale-black-decker-bes701-1500-w</t>
        </is>
      </c>
      <c r="G31" t="inlineStr">
        <is>
          <t>IT</t>
        </is>
      </c>
    </row>
    <row r="32">
      <c r="A32" t="inlineStr">
        <is>
          <t>Black+Decker</t>
        </is>
      </c>
      <c r="B32" t="inlineStr">
        <is>
          <t>BES702-QS</t>
        </is>
      </c>
      <c r="C32" t="inlineStr">
        <is>
          <t>compound</t>
        </is>
      </c>
      <c r="D32" t="n">
        <v>216</v>
      </c>
      <c r="E32" t="inlineStr">
        <is>
          <t>刀片直徑不在 222～267 mm；MediaMarkt ES 市集賣家 MORELE.NET（波蘭），跨國賣家不算該國通路；比照第 14 版 MediaMarkt AT（2026-10-21 使用者表單「一併不採」，10-22 第 15 版套用到前幾版的頁）</t>
        </is>
      </c>
      <c r="F32" t="inlineStr">
        <is>
          <t>https://www.mediamarkt.es/es/product/_sierra-black-and-decker-ingletadora-1500w-bes702-qs-o216mm-con-luz-led-de-guia-black-and-decker-not-available-148373266.html</t>
        </is>
      </c>
      <c r="G32" t="inlineStr">
        <is>
          <t>ES</t>
        </is>
      </c>
    </row>
    <row r="33">
      <c r="A33" t="inlineStr">
        <is>
          <t>Bosch</t>
        </is>
      </c>
      <c r="B33" t="inlineStr"/>
      <c r="C33" t="inlineStr">
        <is>
          <t>undetermined</t>
        </is>
      </c>
      <c r="E33" t="inlineStr">
        <is>
          <t>來源頁看不到型號；來源頁看不到刀片直徑；產品線判不出（來源頁看不出有沒有滑軌）；沒有可用的含稅售價</t>
        </is>
      </c>
      <c r="F33" t="inlineStr">
        <is>
          <t>https://www.obi.at/p/8897753/bosch-kreissaegeblatt-optiline-wood-fuer-tischkreissaegen-250-mm</t>
        </is>
      </c>
      <c r="G33" t="inlineStr">
        <is>
          <t>AT</t>
        </is>
      </c>
    </row>
    <row r="34">
      <c r="A34" t="inlineStr">
        <is>
          <t>Bosch</t>
        </is>
      </c>
      <c r="B34" t="inlineStr"/>
      <c r="C34" t="inlineStr">
        <is>
          <t>undetermined</t>
        </is>
      </c>
      <c r="E34" t="inlineStr">
        <is>
          <t>來源頁看不到型號；來源頁看不到刀片直徑；產品線判不出（來源頁看不出有沒有滑軌）；沒有可用的含稅售價</t>
        </is>
      </c>
      <c r="F34" t="inlineStr">
        <is>
          <t>https://www.obi-italia.it/p/2191182504436/lama-per-sega-circolare-bosch-optiline-wood-160x16mm</t>
        </is>
      </c>
      <c r="G34" t="inlineStr">
        <is>
          <t>IT</t>
        </is>
      </c>
    </row>
    <row r="35">
      <c r="A35" t="inlineStr">
        <is>
          <t>Bosch</t>
        </is>
      </c>
      <c r="B35" t="inlineStr"/>
      <c r="C35" t="inlineStr">
        <is>
          <t>undetermined</t>
        </is>
      </c>
      <c r="E35" t="inlineStr">
        <is>
          <t>來源頁看不到型號；來源頁看不到刀片直徑；產品線判不出（來源頁看不出有沒有滑軌）；沒有可用的含稅售價</t>
        </is>
      </c>
      <c r="F35" t="inlineStr">
        <is>
          <t>https://www.obi-italia.it/p/2191182493518/lama-sega-circolare-bosch-expert-for-multi-material-305x30x2-4mm-96-denti</t>
        </is>
      </c>
      <c r="G35" t="inlineStr">
        <is>
          <t>IT</t>
        </is>
      </c>
    </row>
    <row r="36">
      <c r="A36" t="inlineStr">
        <is>
          <t>Bosch</t>
        </is>
      </c>
      <c r="B36" t="inlineStr"/>
      <c r="C36" t="inlineStr">
        <is>
          <t>undetermined</t>
        </is>
      </c>
      <c r="E36" t="inlineStr">
        <is>
          <t>來源頁看不到型號；來源頁看不到刀片直徑；產品線判不出（來源頁看不出有沒有滑軌）；沒有可用的含稅售價</t>
        </is>
      </c>
      <c r="F36" t="inlineStr">
        <is>
          <t>https://www.obi-italia.it/p/2191182495857/lama-per-sega-circolare-bosch-multi-material-96-denti-254x32x30mm</t>
        </is>
      </c>
      <c r="G36" t="inlineStr">
        <is>
          <t>IT</t>
        </is>
      </c>
    </row>
    <row r="37">
      <c r="A37" t="inlineStr">
        <is>
          <t>Bosch</t>
        </is>
      </c>
      <c r="B37" t="inlineStr"/>
      <c r="C37" t="inlineStr">
        <is>
          <t>undetermined</t>
        </is>
      </c>
      <c r="E37" t="inlineStr">
        <is>
          <t>來源頁看不到型號；來源頁看不到刀片直徑；產品線判不出（來源頁看不出有沒有滑軌）；沒有可用的含稅售價</t>
        </is>
      </c>
      <c r="F37" t="inlineStr">
        <is>
          <t>https://www.obi-italia.it/p/2191182495796/lama-per-sega-circolare-bosch-optiline-wood-48-denti-216x2x30mm</t>
        </is>
      </c>
      <c r="G37" t="inlineStr">
        <is>
          <t>IT</t>
        </is>
      </c>
    </row>
    <row r="38">
      <c r="A38" t="inlineStr">
        <is>
          <t>Bosch</t>
        </is>
      </c>
      <c r="B38" t="inlineStr"/>
      <c r="C38" t="inlineStr">
        <is>
          <t>undetermined</t>
        </is>
      </c>
      <c r="E38" t="inlineStr">
        <is>
          <t>來源頁看不到型號；來源頁看不到刀片直徑；產品線判不出（來源頁看不出有沒有滑軌）；沒有可用的含稅售價</t>
        </is>
      </c>
      <c r="F38" t="inlineStr">
        <is>
          <t>https://www.obi-italia.it/p/2191182492825/lama-per-sega-circolare-bosch-optiline-wood-per-legno</t>
        </is>
      </c>
      <c r="G38" t="inlineStr">
        <is>
          <t>IT</t>
        </is>
      </c>
    </row>
    <row r="39">
      <c r="A39" t="inlineStr">
        <is>
          <t>Bosch</t>
        </is>
      </c>
      <c r="B39" t="inlineStr"/>
      <c r="C39" t="inlineStr">
        <is>
          <t>undetermined</t>
        </is>
      </c>
      <c r="E39" t="inlineStr">
        <is>
          <t>來源頁看不到型號；來源頁看不到刀片直徑；產品線判不出（來源頁看不出有沒有滑軌）；沒有可用的含稅售價</t>
        </is>
      </c>
      <c r="F39" t="inlineStr">
        <is>
          <t>https://www.obi-italia.it/p/2191182493457/lama-per-sega-circolare-bosch-expert-for-aluminium-300x30x2-8mm-96-denti</t>
        </is>
      </c>
      <c r="G39" t="inlineStr">
        <is>
          <t>IT</t>
        </is>
      </c>
    </row>
    <row r="40">
      <c r="A40" t="inlineStr">
        <is>
          <t>Bosch</t>
        </is>
      </c>
      <c r="B40" t="inlineStr"/>
      <c r="C40" t="inlineStr">
        <is>
          <t>undetermined</t>
        </is>
      </c>
      <c r="E40" t="inlineStr">
        <is>
          <t>來源頁看不到型號；來源頁看不到刀片直徑；產品線判不出（來源頁看不出有沒有滑軌）；沒有可用的含稅售價</t>
        </is>
      </c>
      <c r="F40" t="inlineStr">
        <is>
          <t>https://www.obi-italia.it/p/2191182495918/lama-per-sega-circolare-bosch-optiline-wood-48-denti-160x26x20mm</t>
        </is>
      </c>
      <c r="G40" t="inlineStr">
        <is>
          <t>IT</t>
        </is>
      </c>
    </row>
    <row r="41">
      <c r="A41" t="inlineStr">
        <is>
          <t>Bosch</t>
        </is>
      </c>
      <c r="B41" t="inlineStr"/>
      <c r="C41" t="inlineStr">
        <is>
          <t>undetermined</t>
        </is>
      </c>
      <c r="E41" t="inlineStr">
        <is>
          <t>來源頁看不到型號；來源頁看不到刀片直徑；產品線判不出（來源頁看不出有沒有滑軌）；沒有可用的含稅售價</t>
        </is>
      </c>
      <c r="F41" t="inlineStr">
        <is>
          <t>https://www.obi-italia.it/p/2191182515562/lama-per-sega-circolare-bosch-multimateriale-80-denti-216x25x30mm</t>
        </is>
      </c>
      <c r="G41" t="inlineStr">
        <is>
          <t>IT</t>
        </is>
      </c>
    </row>
    <row r="42">
      <c r="A42" t="inlineStr">
        <is>
          <t>Bosch</t>
        </is>
      </c>
      <c r="B42" t="inlineStr"/>
      <c r="C42" t="inlineStr">
        <is>
          <t>undetermined</t>
        </is>
      </c>
      <c r="E42" t="inlineStr">
        <is>
          <t>來源頁看不到型號；來源頁看不到刀片直徑；產品線判不出（來源頁看不出有沒有滑軌）；沒有可用的含稅售價</t>
        </is>
      </c>
      <c r="F42" t="inlineStr">
        <is>
          <t>https://www.obi-italia.it/p/2191182495826/lama-per-sega-circolare-bosch-optiline-wood-60-denti-254x30x2-8mm</t>
        </is>
      </c>
      <c r="G42" t="inlineStr">
        <is>
          <t>IT</t>
        </is>
      </c>
    </row>
    <row r="43">
      <c r="A43" t="inlineStr">
        <is>
          <t>Bosch</t>
        </is>
      </c>
      <c r="B43" t="inlineStr">
        <is>
          <t>0601B49100</t>
        </is>
      </c>
      <c r="C43" t="inlineStr">
        <is>
          <t>compound</t>
        </is>
      </c>
      <c r="E43" t="inlineStr">
        <is>
          <t>來源頁看不到刀片直徑；交期 10 天以上（Livré entre jeu, 5/11 et sam, 14/11）</t>
        </is>
      </c>
      <c r="F43" t="inlineStr">
        <is>
          <t>https://www.galaxus.be/fr/s4/product/diy-0601b49100-scie-a-onglet-37919603</t>
        </is>
      </c>
      <c r="G43" t="inlineStr">
        <is>
          <t>BE</t>
        </is>
      </c>
    </row>
    <row r="44">
      <c r="A44" t="inlineStr">
        <is>
          <t>Bosch</t>
        </is>
      </c>
      <c r="B44" t="inlineStr">
        <is>
          <t>0601B52000</t>
        </is>
      </c>
      <c r="C44" t="inlineStr">
        <is>
          <t>sliding</t>
        </is>
      </c>
      <c r="D44" t="n">
        <v>254</v>
      </c>
      <c r="E44" t="inlineStr">
        <is>
          <t>交期 10 天以上（A domicilio - 19 - 25 nov. - Gratuito）</t>
        </is>
      </c>
      <c r="F44" t="inlineStr">
        <is>
          <t>https://www.manomano.it/p/bosch-utensili-troncatrice-a-trazione-254-mm-1750-w-0601b52000-81781508</t>
        </is>
      </c>
      <c r="G44" t="inlineStr">
        <is>
          <t>IT</t>
        </is>
      </c>
    </row>
    <row r="45">
      <c r="A45" t="inlineStr">
        <is>
          <t>Bosch</t>
        </is>
      </c>
      <c r="B45" t="inlineStr">
        <is>
          <t>0601B53000</t>
        </is>
      </c>
      <c r="C45" t="inlineStr">
        <is>
          <t>undetermined</t>
        </is>
      </c>
      <c r="D45" t="n">
        <v>254</v>
      </c>
      <c r="E45" t="inlineStr">
        <is>
          <t>產品線判不出（來源頁看不出有沒有滑軌）</t>
        </is>
      </c>
      <c r="F45" t="inlineStr">
        <is>
          <t>https://www.manomano.it/p/bosch-utensili-troncatrice-254-mm-1800-w-0601b53000-85713783</t>
        </is>
      </c>
      <c r="G45" t="inlineStr">
        <is>
          <t>IT</t>
        </is>
      </c>
    </row>
    <row r="46">
      <c r="A46" t="inlineStr">
        <is>
          <t>Bosch</t>
        </is>
      </c>
      <c r="B46" t="inlineStr">
        <is>
          <t>AdvancedTableCut 52</t>
        </is>
      </c>
      <c r="C46" t="inlineStr">
        <is>
          <t>table</t>
        </is>
      </c>
      <c r="E46" t="inlineStr">
        <is>
          <t>來源頁看不到刀片直徑</t>
        </is>
      </c>
      <c r="F46" t="inlineStr">
        <is>
          <t>https://www.praktiker.gr/p/bosch-advancedtablecut-52-diskopriono-pagkou-500w-138136</t>
        </is>
      </c>
      <c r="G46" t="inlineStr">
        <is>
          <t>GR</t>
        </is>
      </c>
    </row>
    <row r="47">
      <c r="A47" t="inlineStr">
        <is>
          <t>Bosch</t>
        </is>
      </c>
      <c r="B47" t="inlineStr">
        <is>
          <t>GCD 18V-355</t>
        </is>
      </c>
      <c r="C47" t="inlineStr">
        <is>
          <t>compound</t>
        </is>
      </c>
      <c r="D47" t="n">
        <v>355</v>
      </c>
      <c r="E47" t="inlineStr">
        <is>
          <t>刀片直徑不在 222～267 mm</t>
        </is>
      </c>
      <c r="F47" t="inlineStr">
        <is>
          <t>https://www.hornbach.de/p/kapp-und-gehrungssaege-bosch-professional-gcd-18v-355-ohne-akku-und-ladegeraet/12487788/</t>
        </is>
      </c>
      <c r="G47" t="inlineStr">
        <is>
          <t>DE</t>
        </is>
      </c>
    </row>
    <row r="48">
      <c r="A48" t="inlineStr">
        <is>
          <t>Bosch</t>
        </is>
      </c>
      <c r="B48" t="inlineStr">
        <is>
          <t>GCM 12 GDL</t>
        </is>
      </c>
      <c r="C48" t="inlineStr">
        <is>
          <t>sliding</t>
        </is>
      </c>
      <c r="D48" t="n">
        <v>305</v>
      </c>
      <c r="E48" t="inlineStr">
        <is>
          <t>刀片直徑不在 222～267 mm；複合機（翻轉鋸或上方附台的斜切鋸）不收</t>
        </is>
      </c>
      <c r="F48" t="inlineStr">
        <is>
          <t>https://www.obi.de/p/2102358/bosch-professional-kapp-und-gehrungssaege-gcm-12-gdl-2-000-w-mit-kreissaegeblatt</t>
        </is>
      </c>
      <c r="G48" t="inlineStr">
        <is>
          <t>DE</t>
        </is>
      </c>
    </row>
    <row r="49">
      <c r="A49" t="inlineStr">
        <is>
          <t>Bosch</t>
        </is>
      </c>
      <c r="B49" t="inlineStr">
        <is>
          <t>GCM 12 SDE</t>
        </is>
      </c>
      <c r="C49" t="inlineStr">
        <is>
          <t>sliding</t>
        </is>
      </c>
      <c r="D49" t="n">
        <v>305</v>
      </c>
      <c r="E49" t="inlineStr">
        <is>
          <t>刀片直徑不在 222～267 mm</t>
        </is>
      </c>
      <c r="F49" t="inlineStr">
        <is>
          <t>https://www.diy.com/departments/bosch-0601b23160-gcm-12-sde-professional-sliding-mitre-saw-1450w-110v/3165140769662_BQ.prd</t>
        </is>
      </c>
      <c r="G49" t="inlineStr">
        <is>
          <t>GB</t>
        </is>
      </c>
    </row>
    <row r="50">
      <c r="A50" t="inlineStr">
        <is>
          <t>Bosch</t>
        </is>
      </c>
      <c r="B50" t="inlineStr">
        <is>
          <t>GCM 18V-216 D</t>
        </is>
      </c>
      <c r="C50" t="inlineStr">
        <is>
          <t>compound</t>
        </is>
      </c>
      <c r="D50" t="n">
        <v>216</v>
      </c>
      <c r="E50" t="inlineStr">
        <is>
          <t>刀片直徑不在 222～267 mm</t>
        </is>
      </c>
      <c r="F50" t="inlineStr">
        <is>
          <t>https://www.obi.de/p/7171101/bosch-professional-akku-kapp-und-gehrungssaege-gcm-18v-216-d-m-2-x-saegeblatt</t>
        </is>
      </c>
      <c r="G50" t="inlineStr">
        <is>
          <t>DE</t>
        </is>
      </c>
    </row>
    <row r="51">
      <c r="A51" t="inlineStr">
        <is>
          <t>Bosch</t>
        </is>
      </c>
      <c r="B51" t="inlineStr">
        <is>
          <t>GCM 18V-216 DC</t>
        </is>
      </c>
      <c r="C51" t="inlineStr">
        <is>
          <t>compound</t>
        </is>
      </c>
      <c r="D51" t="n">
        <v>216</v>
      </c>
      <c r="E51" t="inlineStr">
        <is>
          <t>刀片直徑不在 222～267 mm</t>
        </is>
      </c>
      <c r="F51" t="inlineStr">
        <is>
          <t>https://www.kaufland.de/product/438361950/</t>
        </is>
      </c>
      <c r="G51" t="inlineStr">
        <is>
          <t>DE</t>
        </is>
      </c>
    </row>
    <row r="52">
      <c r="A52" t="inlineStr">
        <is>
          <t>Bosch</t>
        </is>
      </c>
      <c r="B52" t="inlineStr">
        <is>
          <t>GCM 18V-216 Professional</t>
        </is>
      </c>
      <c r="C52" t="inlineStr">
        <is>
          <t>compound</t>
        </is>
      </c>
      <c r="D52" t="n">
        <v>216</v>
      </c>
      <c r="E52" t="inlineStr">
        <is>
          <t>刀片直徑不在 222～267 mm</t>
        </is>
      </c>
      <c r="F52" t="inlineStr">
        <is>
          <t>https://ferramentas.pt/serra-de-esquadria-bosch-gcm-18v-216-professional.html</t>
        </is>
      </c>
      <c r="G52" t="inlineStr">
        <is>
          <t>PT</t>
        </is>
      </c>
    </row>
    <row r="53">
      <c r="A53" t="inlineStr">
        <is>
          <t>Bosch</t>
        </is>
      </c>
      <c r="B53" t="inlineStr">
        <is>
          <t>GCM 18V-305 GDC</t>
        </is>
      </c>
      <c r="C53" t="inlineStr">
        <is>
          <t>compound</t>
        </is>
      </c>
      <c r="D53" t="n">
        <v>305</v>
      </c>
      <c r="E53" t="inlineStr">
        <is>
          <t>刀片直徑不在 222～267 mm</t>
        </is>
      </c>
      <c r="F53" t="inlineStr">
        <is>
          <t>https://www.obi.at/p/1180611/bosch-professional-akku-kapp-und-gehrungssaege-biturbo-gcm-18v-305-gdc-solo</t>
        </is>
      </c>
      <c r="G53" t="inlineStr">
        <is>
          <t>AT</t>
        </is>
      </c>
    </row>
    <row r="54">
      <c r="A54" t="inlineStr">
        <is>
          <t>Bosch</t>
        </is>
      </c>
      <c r="B54" t="inlineStr">
        <is>
          <t>GCM 216</t>
        </is>
      </c>
      <c r="C54" t="inlineStr">
        <is>
          <t>compound</t>
        </is>
      </c>
      <c r="D54" t="n">
        <v>216</v>
      </c>
      <c r="E54" t="inlineStr">
        <is>
          <t>刀片直徑不在 222～267 mm</t>
        </is>
      </c>
      <c r="F54" t="inlineStr">
        <is>
          <t>https://www.obi.at/p/2191167319529/bosch-professional-kapp-und-gehrungssaege-gcm-216</t>
        </is>
      </c>
      <c r="G54" t="inlineStr">
        <is>
          <t>AT</t>
        </is>
      </c>
    </row>
    <row r="55">
      <c r="A55" t="inlineStr">
        <is>
          <t>Bosch</t>
        </is>
      </c>
      <c r="B55" t="inlineStr">
        <is>
          <t>GCM 254</t>
        </is>
      </c>
      <c r="C55" t="inlineStr">
        <is>
          <t>compound</t>
        </is>
      </c>
      <c r="D55" t="n">
        <v>254</v>
      </c>
      <c r="E55" t="inlineStr">
        <is>
          <t>只有缺貨的價格</t>
        </is>
      </c>
      <c r="F55" t="inlineStr">
        <is>
          <t>https://www.moyo.ua/ua/pyla_tortsyuvalna_bosch_professional_gcm_254_1750vt_5000ob_khv_dysk_254mm_11_5kg/726710.html</t>
        </is>
      </c>
      <c r="G55" t="inlineStr">
        <is>
          <t>UA</t>
        </is>
      </c>
    </row>
    <row r="56">
      <c r="A56" t="inlineStr">
        <is>
          <t>Bosch</t>
        </is>
      </c>
      <c r="B56" t="inlineStr">
        <is>
          <t>GCM 305-216</t>
        </is>
      </c>
      <c r="C56" t="inlineStr">
        <is>
          <t>compound</t>
        </is>
      </c>
      <c r="D56" t="n">
        <v>216</v>
      </c>
      <c r="E56" t="inlineStr">
        <is>
          <t>刀片直徑不在 222～267 mm</t>
        </is>
      </c>
      <c r="F56" t="inlineStr">
        <is>
          <t>https://www.hornbach.ch/de/p/bosch-professional-kapp-und-gehrungssaege-gcm-305-216/12391976/</t>
        </is>
      </c>
      <c r="G56" t="inlineStr">
        <is>
          <t>CH</t>
        </is>
      </c>
    </row>
    <row r="57">
      <c r="A57" t="inlineStr">
        <is>
          <t>Bosch</t>
        </is>
      </c>
      <c r="B57" t="inlineStr">
        <is>
          <t>GCM 305-216 D</t>
        </is>
      </c>
      <c r="C57" t="inlineStr">
        <is>
          <t>sliding</t>
        </is>
      </c>
      <c r="D57" t="n">
        <v>216</v>
      </c>
      <c r="E57" t="inlineStr">
        <is>
          <t>刀片直徑不在 222～267 mm</t>
        </is>
      </c>
      <c r="F57" t="inlineStr">
        <is>
          <t>https://www.leroymerlin.pl/produkty/pilarka-ukosowa-z-posuwem-gcm-305-216-d-1200-w-216-mm-bosch-professional-72600543.html</t>
        </is>
      </c>
      <c r="G57" t="inlineStr">
        <is>
          <t>PL</t>
        </is>
      </c>
    </row>
    <row r="58">
      <c r="A58" t="inlineStr">
        <is>
          <t>Bosch</t>
        </is>
      </c>
      <c r="B58" t="inlineStr">
        <is>
          <t>GCM 340-305 D</t>
        </is>
      </c>
      <c r="C58" t="inlineStr">
        <is>
          <t>sliding</t>
        </is>
      </c>
      <c r="D58" t="n">
        <v>305</v>
      </c>
      <c r="E58" t="inlineStr">
        <is>
          <t>刀片直徑不在 222～267 mm</t>
        </is>
      </c>
      <c r="F58" t="inlineStr">
        <is>
          <t>https://www.diy.com/departments/bosch-pro-230v-mitre-saw-gcm-340-305-d-carton-box-0601b60070/4053423325904_BQ.prd</t>
        </is>
      </c>
      <c r="G58" t="inlineStr">
        <is>
          <t>GB</t>
        </is>
      </c>
    </row>
    <row r="59">
      <c r="A59" t="inlineStr">
        <is>
          <t>Bosch</t>
        </is>
      </c>
      <c r="B59" t="inlineStr">
        <is>
          <t>GCM 8 SDE</t>
        </is>
      </c>
      <c r="C59" t="inlineStr">
        <is>
          <t>sliding</t>
        </is>
      </c>
      <c r="D59" t="n">
        <v>216</v>
      </c>
      <c r="E59" t="inlineStr">
        <is>
          <t>刀片直徑不在 222～267 mm</t>
        </is>
      </c>
      <c r="F59" t="inlineStr">
        <is>
          <t>https://www.hornbach.at/p/paneelsaege-bosch-professional-gcm-8-sde-inkl-klemme-und-1-x-kreissaegeblatt-expert-for-wood-216-x-30-x-2-4-mm-48-zaehne/6759735/</t>
        </is>
      </c>
      <c r="G59" t="inlineStr">
        <is>
          <t>AT</t>
        </is>
      </c>
    </row>
    <row r="60">
      <c r="A60" t="inlineStr">
        <is>
          <t>Bosch</t>
        </is>
      </c>
      <c r="B60" t="inlineStr">
        <is>
          <t>GCM 8 SJL</t>
        </is>
      </c>
      <c r="C60" t="inlineStr">
        <is>
          <t>compound</t>
        </is>
      </c>
      <c r="D60" t="n">
        <v>216</v>
      </c>
      <c r="E60" t="inlineStr">
        <is>
          <t>刀片直徑不在 222～267 mm</t>
        </is>
      </c>
      <c r="F60" t="inlineStr">
        <is>
          <t>https://www.hornbach.nl/p/bosch-professional-afkortzaag-gcm-8-sjl/8801909/</t>
        </is>
      </c>
      <c r="G60" t="inlineStr">
        <is>
          <t>NL</t>
        </is>
      </c>
    </row>
    <row r="61">
      <c r="A61" t="inlineStr">
        <is>
          <t>Bosch</t>
        </is>
      </c>
      <c r="B61" t="inlineStr">
        <is>
          <t>GCM 80 SJ</t>
        </is>
      </c>
      <c r="C61" t="inlineStr">
        <is>
          <t>compound</t>
        </is>
      </c>
      <c r="D61" t="n">
        <v>216</v>
      </c>
      <c r="E61" t="inlineStr">
        <is>
          <t>刀片直徑不在 222～267 mm</t>
        </is>
      </c>
      <c r="F61" t="inlineStr">
        <is>
          <t>https://www.toolstation.be/bosch-gcm-80-sj-afkortzaag/p91064</t>
        </is>
      </c>
      <c r="G61" t="inlineStr">
        <is>
          <t>BE</t>
        </is>
      </c>
    </row>
    <row r="62">
      <c r="A62" t="inlineStr">
        <is>
          <t>Bosch</t>
        </is>
      </c>
      <c r="B62" t="inlineStr">
        <is>
          <t>GCM 800 SJ</t>
        </is>
      </c>
      <c r="C62" t="inlineStr">
        <is>
          <t>compound</t>
        </is>
      </c>
      <c r="D62" t="n">
        <v>216</v>
      </c>
      <c r="E62" t="inlineStr">
        <is>
          <t>刀片直徑不在 222～267 mm</t>
        </is>
      </c>
      <c r="F62" t="inlineStr">
        <is>
          <t>https://pigu.lt/lt/remonto-ir-apdailos-prekes/elektriniai-irankiai/pjovimo-irankiai/kampinis-pjuklas-bosch-gcm-800-sj-1400w?id=13701525&amp;sq=a2FtcGluaXMgcGrFq2tsYXM%3D&amp;wr=https%3A%2F%2Fpigu.lt%2Flt%2Fsearch%3Fq%3Dkampinis%2Bpj%25C5%25ABklas</t>
        </is>
      </c>
      <c r="G62" t="inlineStr">
        <is>
          <t>LT</t>
        </is>
      </c>
    </row>
    <row r="63">
      <c r="A63" t="inlineStr">
        <is>
          <t>Bosch</t>
        </is>
      </c>
      <c r="B63" t="inlineStr">
        <is>
          <t>GCM305-216S</t>
        </is>
      </c>
      <c r="C63" t="inlineStr">
        <is>
          <t>sliding</t>
        </is>
      </c>
      <c r="D63" t="n">
        <v>216</v>
      </c>
      <c r="E63" t="inlineStr">
        <is>
          <t>刀片直徑不在 222～267 mm</t>
        </is>
      </c>
      <c r="F63" t="inlineStr">
        <is>
          <t>https://www.hornbach.de/p/kapp-und-gehrungssaege-bosch-professional-gcm305-216s-inkl-2x-kreissaegeblatt/12823274/</t>
        </is>
      </c>
      <c r="G63" t="inlineStr">
        <is>
          <t>DE</t>
        </is>
      </c>
    </row>
    <row r="64">
      <c r="A64" t="inlineStr">
        <is>
          <t>Bosch</t>
        </is>
      </c>
      <c r="B64" t="inlineStr">
        <is>
          <t>GSA 12V-14 Solo</t>
        </is>
      </c>
      <c r="C64" t="inlineStr">
        <is>
          <t>undetermined</t>
        </is>
      </c>
      <c r="E64" t="inlineStr">
        <is>
          <t>來源頁看不到刀片直徑；產品線判不出（來源頁看不出有沒有滑軌）</t>
        </is>
      </c>
      <c r="F64" t="inlineStr">
        <is>
          <t>https://mokivezi.lt/1031646-akumuliatorinis-tiesinis-pjuklas-bosch-professional-gsa-12v-14-solo-12v-14-5-mm-060164l902-be-akumuliatoriaus-ir-kroviklio</t>
        </is>
      </c>
      <c r="G64" t="inlineStr">
        <is>
          <t>LT</t>
        </is>
      </c>
    </row>
    <row r="65">
      <c r="A65" t="inlineStr">
        <is>
          <t>Bosch</t>
        </is>
      </c>
      <c r="B65" t="inlineStr">
        <is>
          <t>GSA 18V-28 Solo</t>
        </is>
      </c>
      <c r="C65" t="inlineStr">
        <is>
          <t>undetermined</t>
        </is>
      </c>
      <c r="E65" t="inlineStr">
        <is>
          <t>來源頁看不到刀片直徑；產品線判不出（來源頁看不出有沒有滑軌）</t>
        </is>
      </c>
      <c r="F65" t="inlineStr">
        <is>
          <t>https://mokivezi.lt/1031648-akumuliatorinis-tiesinis-pjuklas-bosch-professional-gsa-18v-28-solo-18v-28-mm-06016c0000-be-akumuliatoriaus-ir-kroviklio</t>
        </is>
      </c>
      <c r="G65" t="inlineStr">
        <is>
          <t>LT</t>
        </is>
      </c>
    </row>
    <row r="66">
      <c r="A66" t="inlineStr">
        <is>
          <t>Bosch</t>
        </is>
      </c>
      <c r="B66" t="inlineStr">
        <is>
          <t>GTM 12 JL</t>
        </is>
      </c>
      <c r="C66" t="inlineStr">
        <is>
          <t>table</t>
        </is>
      </c>
      <c r="D66" t="n">
        <v>305</v>
      </c>
      <c r="E66" t="inlineStr">
        <is>
          <t>刀片直徑不在 222～267 mm；複合機（翻轉鋸或上方附台的斜切鋸）不收</t>
        </is>
      </c>
      <c r="F66" t="inlineStr">
        <is>
          <t>https://www.hornbach.at/p/kombinationssaege-bosch-professional-gtm-12-jl-inkl-kreissaegeblatt-und-schiebestock/6348694/</t>
        </is>
      </c>
      <c r="G66" t="inlineStr">
        <is>
          <t>AT</t>
        </is>
      </c>
    </row>
    <row r="67">
      <c r="A67" t="inlineStr">
        <is>
          <t>Bosch</t>
        </is>
      </c>
      <c r="B67" t="inlineStr">
        <is>
          <t>GTS 10</t>
        </is>
      </c>
      <c r="C67" t="inlineStr">
        <is>
          <t>table</t>
        </is>
      </c>
      <c r="E67" t="inlineStr">
        <is>
          <t>來源頁看不到刀片直徑；交期 10 天以上（Livré entre mar, 24/11 et mar, 1/12）</t>
        </is>
      </c>
      <c r="F67" t="inlineStr">
        <is>
          <t>https://www.galaxus.fr/fr/s4/product/bosch-professional-gts-10-scie-circulaire-sur-table-6514352</t>
        </is>
      </c>
      <c r="G67" t="inlineStr">
        <is>
          <t>FR</t>
        </is>
      </c>
    </row>
    <row r="68">
      <c r="A68" t="inlineStr">
        <is>
          <t>Bosch</t>
        </is>
      </c>
      <c r="B68" t="inlineStr">
        <is>
          <t>GTS 18V-216 Professional</t>
        </is>
      </c>
      <c r="C68" t="inlineStr">
        <is>
          <t>table</t>
        </is>
      </c>
      <c r="D68" t="n">
        <v>216</v>
      </c>
      <c r="E68" t="inlineStr">
        <is>
          <t>刀片直徑不在 222～267 mm</t>
        </is>
      </c>
      <c r="F68" t="inlineStr">
        <is>
          <t>https://www.kaufland.at/product/396743145/</t>
        </is>
      </c>
      <c r="G68" t="inlineStr">
        <is>
          <t>AT</t>
        </is>
      </c>
    </row>
    <row r="69">
      <c r="A69" t="inlineStr">
        <is>
          <t>Bosch</t>
        </is>
      </c>
      <c r="B69" t="inlineStr">
        <is>
          <t>GTS 18V-216 Solo</t>
        </is>
      </c>
      <c r="C69" t="inlineStr">
        <is>
          <t>table</t>
        </is>
      </c>
      <c r="E69" t="inlineStr">
        <is>
          <t>來源頁看不到刀片直徑</t>
        </is>
      </c>
      <c r="F69" t="inlineStr">
        <is>
          <t>https://www.obi.at/p/1346709/bosch-professional-akku-tischkreissaege-gts-18v-216-solo-inkl-kreissaegeblatt</t>
        </is>
      </c>
      <c r="G69" t="inlineStr">
        <is>
          <t>AT</t>
        </is>
      </c>
    </row>
    <row r="70">
      <c r="A70" t="inlineStr">
        <is>
          <t>Bosch</t>
        </is>
      </c>
      <c r="B70" t="inlineStr">
        <is>
          <t>GTS 18V-70</t>
        </is>
      </c>
      <c r="C70" t="inlineStr">
        <is>
          <t>table</t>
        </is>
      </c>
      <c r="D70" t="n">
        <v>216</v>
      </c>
      <c r="E70" t="inlineStr">
        <is>
          <t>刀片直徑不在 222～267 mm</t>
        </is>
      </c>
      <c r="F70" t="inlineStr">
        <is>
          <t>https://www.castorama.fr/mkp/scie-sur-table-gts-18v-70-bosch-0601b44100/4053423329865_CAFR.prd</t>
        </is>
      </c>
      <c r="G70" t="inlineStr">
        <is>
          <t>FR</t>
        </is>
      </c>
    </row>
    <row r="71">
      <c r="A71" t="inlineStr">
        <is>
          <t>Bosch</t>
        </is>
      </c>
      <c r="B71" t="inlineStr">
        <is>
          <t>GTS 635-216 Professional</t>
        </is>
      </c>
      <c r="C71" t="inlineStr">
        <is>
          <t>table</t>
        </is>
      </c>
      <c r="D71" t="n">
        <v>216</v>
      </c>
      <c r="E71" t="inlineStr">
        <is>
          <t>刀片直徑不在 222～267 mm</t>
        </is>
      </c>
      <c r="F71" t="inlineStr">
        <is>
          <t>https://www.obi.cz/stolni-kotoucove-pily/bosch-mobilni-stolni-okruzni-pila-gts-635-216-professional/p/6152284</t>
        </is>
      </c>
      <c r="G71" t="inlineStr">
        <is>
          <t>CZ</t>
        </is>
      </c>
    </row>
    <row r="72">
      <c r="A72" t="inlineStr">
        <is>
          <t>Bosch</t>
        </is>
      </c>
      <c r="B72" t="inlineStr">
        <is>
          <t>GTS 70-216</t>
        </is>
      </c>
      <c r="C72" t="inlineStr">
        <is>
          <t>table</t>
        </is>
      </c>
      <c r="D72" t="n">
        <v>216</v>
      </c>
      <c r="E72" t="inlineStr">
        <is>
          <t>刀片直徑不在 222～267 mm</t>
        </is>
      </c>
      <c r="F72" t="inlineStr">
        <is>
          <t>https://www.alternate.dk/Bosch-Professional/Bordsav-GTS-70-216-Professional-Tabel-rundsav/html/product/100150097</t>
        </is>
      </c>
      <c r="G72" t="inlineStr">
        <is>
          <t>DK</t>
        </is>
      </c>
    </row>
    <row r="73">
      <c r="A73" t="inlineStr">
        <is>
          <t>Bosch</t>
        </is>
      </c>
      <c r="B73" t="inlineStr">
        <is>
          <t>Universal Saw 18 Solo</t>
        </is>
      </c>
      <c r="C73" t="inlineStr">
        <is>
          <t>undetermined</t>
        </is>
      </c>
      <c r="E73" t="inlineStr">
        <is>
          <t>來源頁看不到刀片直徑；產品線判不出（來源頁看不出有沒有滑軌）</t>
        </is>
      </c>
      <c r="F73" t="inlineStr">
        <is>
          <t>https://mokivezi.lt/1031524-akumuliatorinis-siaurapjuklis-bosch-green-universal-saw-18-solo-be-akumuliatoriaus-ir-kroviklio</t>
        </is>
      </c>
      <c r="G73" t="inlineStr">
        <is>
          <t>LT</t>
        </is>
      </c>
    </row>
    <row r="74">
      <c r="A74" t="inlineStr">
        <is>
          <t>Charnwood</t>
        </is>
      </c>
      <c r="B74" t="inlineStr">
        <is>
          <t>W619</t>
        </is>
      </c>
      <c r="C74" t="inlineStr">
        <is>
          <t>table</t>
        </is>
      </c>
      <c r="D74" t="n">
        <v>200</v>
      </c>
      <c r="E74" t="inlineStr">
        <is>
          <t>刀片直徑不在 222～267 mm</t>
        </is>
      </c>
      <c r="F74" t="inlineStr">
        <is>
          <t>https://www.diy.com/departments/charnwood-w619-8-cast-iron-table-saw-with-sliding-carriage/5060281693211_BQ.prd</t>
        </is>
      </c>
      <c r="G74" t="inlineStr">
        <is>
          <t>GB</t>
        </is>
      </c>
    </row>
    <row r="75">
      <c r="A75" t="inlineStr">
        <is>
          <t>Charnwood</t>
        </is>
      </c>
      <c r="B75" t="inlineStr">
        <is>
          <t>W619P</t>
        </is>
      </c>
      <c r="C75" t="inlineStr">
        <is>
          <t>table</t>
        </is>
      </c>
      <c r="D75" t="n">
        <v>200</v>
      </c>
      <c r="E75" t="inlineStr">
        <is>
          <t>刀片直徑不在 222～267 mm；套裝價（含其他物品），不算機台價（10-19 表單）</t>
        </is>
      </c>
      <c r="F75" t="inlineStr">
        <is>
          <t>https://www.diy.com/departments/charnwod-w619p-8-table-saw-with-wheel-kit-and-low-noise-blade/5060486049363_BQ.prd</t>
        </is>
      </c>
      <c r="G75" t="inlineStr">
        <is>
          <t>GB</t>
        </is>
      </c>
    </row>
    <row r="76">
      <c r="A76" t="inlineStr">
        <is>
          <t>Charnwood</t>
        </is>
      </c>
      <c r="B76" t="inlineStr">
        <is>
          <t>W629P</t>
        </is>
      </c>
      <c r="C76" t="inlineStr">
        <is>
          <t>table</t>
        </is>
      </c>
      <c r="D76" t="n">
        <v>250</v>
      </c>
      <c r="E76" t="inlineStr">
        <is>
          <t>套裝價（含其他物品），不算機台價（10-19 表單）</t>
        </is>
      </c>
      <c r="F76" t="inlineStr">
        <is>
          <t>https://www.diy.com/departments/charnwood-w629p-10-table-saw-with-wheel-kit-and-low-noise-blade/5060486049370_BQ.prd</t>
        </is>
      </c>
      <c r="G76" t="inlineStr">
        <is>
          <t>GB</t>
        </is>
      </c>
    </row>
    <row r="77">
      <c r="A77" t="inlineStr">
        <is>
          <t>Charnwood</t>
        </is>
      </c>
      <c r="B77" t="inlineStr">
        <is>
          <t>W650P</t>
        </is>
      </c>
      <c r="C77" t="inlineStr">
        <is>
          <t>table</t>
        </is>
      </c>
      <c r="D77" t="n">
        <v>250</v>
      </c>
      <c r="E77" t="inlineStr">
        <is>
          <t>套裝價（含其他物品），不算機台價（10-19 表單）</t>
        </is>
      </c>
      <c r="F77" t="inlineStr">
        <is>
          <t>https://www.diy.com/departments/charnwood-w650p-10-table-saw-with-wheel-kit-and-low-noise-blade/5060486049387_BQ.prd</t>
        </is>
      </c>
      <c r="G77" t="inlineStr">
        <is>
          <t>GB</t>
        </is>
      </c>
    </row>
    <row r="78">
      <c r="A78" t="inlineStr">
        <is>
          <t>Clarke</t>
        </is>
      </c>
      <c r="B78" t="inlineStr">
        <is>
          <t>CON14</t>
        </is>
      </c>
      <c r="C78" t="inlineStr">
        <is>
          <t>undetermined</t>
        </is>
      </c>
      <c r="D78" t="n">
        <v>355</v>
      </c>
      <c r="E78" t="inlineStr">
        <is>
          <t>刀片直徑不在 222～267 mm；產品線判不出（來源頁看不出有沒有滑軌）</t>
        </is>
      </c>
      <c r="F78" t="inlineStr">
        <is>
          <t>https://www.sitebox.ltd.uk/clarke-con14-contractor-355mm-2400w-abrasive-cut-off-saw-230v-code-6470168-oclarke_6470168</t>
        </is>
      </c>
      <c r="G78" t="inlineStr">
        <is>
          <t>GB</t>
        </is>
      </c>
    </row>
    <row r="79">
      <c r="A79" t="inlineStr">
        <is>
          <t>Cmc Tools</t>
        </is>
      </c>
      <c r="B79" t="inlineStr"/>
      <c r="C79" t="inlineStr">
        <is>
          <t>compound</t>
        </is>
      </c>
      <c r="D79" t="n">
        <v>255</v>
      </c>
      <c r="E79" t="inlineStr">
        <is>
          <t>來源頁看不到型號</t>
        </is>
      </c>
      <c r="F79" t="inlineStr">
        <is>
          <t>https://www.hepsiburada.com/cmc-tools-cmc-gonye-kesme-makinasi-1400-watt-255mm-ahsap-metal-kesme-pm-HBC0000664HNI</t>
        </is>
      </c>
      <c r="G79" t="inlineStr">
        <is>
          <t>TR</t>
        </is>
      </c>
    </row>
    <row r="80">
      <c r="A80" t="inlineStr">
        <is>
          <t>CMI</t>
        </is>
      </c>
      <c r="B80" t="inlineStr"/>
      <c r="C80" t="inlineStr">
        <is>
          <t>sliding</t>
        </is>
      </c>
      <c r="D80" t="n">
        <v>254</v>
      </c>
      <c r="E80" t="inlineStr">
        <is>
          <t>來源頁看不到型號</t>
        </is>
      </c>
      <c r="F80" t="inlineStr">
        <is>
          <t>https://www.obi.at/p/9420993/cmi-zug-kapp-und-gehrungssaege-254-mm</t>
        </is>
      </c>
      <c r="G80" t="inlineStr">
        <is>
          <t>AT</t>
        </is>
      </c>
    </row>
    <row r="81">
      <c r="A81" t="inlineStr">
        <is>
          <t>CMI</t>
        </is>
      </c>
      <c r="B81" t="inlineStr"/>
      <c r="C81" t="inlineStr">
        <is>
          <t>sliding</t>
        </is>
      </c>
      <c r="D81" t="n">
        <v>254</v>
      </c>
      <c r="E81" t="inlineStr">
        <is>
          <t>來源頁看不到型號</t>
        </is>
      </c>
      <c r="F81" t="inlineStr">
        <is>
          <t>https://www.obi.cz/formatovaci-kapovaci-a-pokosove-pily/cmi-pokosova-pila-s-potahem-kapovaci-a-pokosova-pila-254-mm/p/1199967</t>
        </is>
      </c>
      <c r="G81" t="inlineStr">
        <is>
          <t>CZ</t>
        </is>
      </c>
    </row>
    <row r="82">
      <c r="A82" t="inlineStr">
        <is>
          <t>CMI</t>
        </is>
      </c>
      <c r="B82" t="inlineStr"/>
      <c r="C82" t="inlineStr">
        <is>
          <t>table</t>
        </is>
      </c>
      <c r="E82" t="inlineStr">
        <is>
          <t>來源頁看不到型號；來源頁看不到刀片直徑</t>
        </is>
      </c>
      <c r="F82" t="inlineStr">
        <is>
          <t>https://www.obi.at/p/9473331/cmi-tischkreissaege-800-w</t>
        </is>
      </c>
      <c r="G82" t="inlineStr">
        <is>
          <t>AT</t>
        </is>
      </c>
    </row>
    <row r="83">
      <c r="A83" t="inlineStr">
        <is>
          <t>CMI</t>
        </is>
      </c>
      <c r="B83" t="inlineStr">
        <is>
          <t>C-KGZS 1200</t>
        </is>
      </c>
      <c r="C83" t="inlineStr">
        <is>
          <t>sliding</t>
        </is>
      </c>
      <c r="D83" t="n">
        <v>210</v>
      </c>
      <c r="E83" t="inlineStr">
        <is>
          <t>刀片直徑不在 222～267 mm</t>
        </is>
      </c>
      <c r="F83" t="inlineStr">
        <is>
          <t>https://www.obi.at/p/1363076/cmi-zug-kapp-und-gehrungssaege-c-kgzs-1200</t>
        </is>
      </c>
      <c r="G83" t="inlineStr">
        <is>
          <t>AT</t>
        </is>
      </c>
    </row>
    <row r="84">
      <c r="A84" t="inlineStr">
        <is>
          <t>Compa</t>
        </is>
      </c>
      <c r="B84" t="inlineStr">
        <is>
          <t>ORANGE</t>
        </is>
      </c>
      <c r="C84" t="inlineStr">
        <is>
          <t>compound</t>
        </is>
      </c>
      <c r="D84" t="n">
        <v>250</v>
      </c>
      <c r="E84" t="inlineStr">
        <is>
          <t>複合機（翻轉鋸或上方附台的斜切鋸）不收</t>
        </is>
      </c>
      <c r="F84" t="inlineStr">
        <is>
          <t>https://www.leroymerlin.it/prodotti/troncatrice-combinata-compa-orange-silenziata-250-mm-1600-w-4800-giri-min-34899830.html</t>
        </is>
      </c>
      <c r="G84" t="inlineStr">
        <is>
          <t>IT</t>
        </is>
      </c>
    </row>
    <row r="85">
      <c r="A85" t="inlineStr">
        <is>
          <t>Compa</t>
        </is>
      </c>
      <c r="B85" t="inlineStr">
        <is>
          <t>SG 250 Silver Green 250 Evolution</t>
        </is>
      </c>
      <c r="C85" t="inlineStr">
        <is>
          <t>sliding</t>
        </is>
      </c>
      <c r="D85" t="n">
        <v>250</v>
      </c>
      <c r="E85" t="inlineStr">
        <is>
          <t>複合機（翻轉鋸或上方附台的斜切鋸）不收</t>
        </is>
      </c>
      <c r="F85" t="inlineStr">
        <is>
          <t>https://www.manomano.es/p/ingletadora-compa-g-250-30985430</t>
        </is>
      </c>
      <c r="G85" t="inlineStr">
        <is>
          <t>ES</t>
        </is>
      </c>
    </row>
    <row r="86">
      <c r="A86" t="inlineStr">
        <is>
          <t>Compa</t>
        </is>
      </c>
      <c r="B86" t="inlineStr">
        <is>
          <t>silverg 250e</t>
        </is>
      </c>
      <c r="C86" t="inlineStr">
        <is>
          <t>compound</t>
        </is>
      </c>
      <c r="E86" t="inlineStr">
        <is>
          <t>來源頁看不到刀片直徑；交期 10 天以上（Consegna a partire da 21 giorni lavorati）</t>
        </is>
      </c>
      <c r="F86" t="inlineStr">
        <is>
          <t>https://www.leroymerlin.it/prodotti/troncatrice-compa-silverg-250e-254-mm-1600w-4800-giri-min-82307879.html</t>
        </is>
      </c>
      <c r="G86" t="inlineStr">
        <is>
          <t>IT</t>
        </is>
      </c>
    </row>
    <row r="87">
      <c r="A87" t="inlineStr">
        <is>
          <t>Constructor</t>
        </is>
      </c>
      <c r="B87" t="inlineStr"/>
      <c r="C87" t="inlineStr">
        <is>
          <t>table</t>
        </is>
      </c>
      <c r="D87" t="n">
        <v>254</v>
      </c>
      <c r="E87" t="inlineStr">
        <is>
          <t>來源頁看不到型號</t>
        </is>
      </c>
      <c r="F87" t="inlineStr">
        <is>
          <t>https://www.manomano.de/p/kreissage-tischkreissage-2000w-254mm-mit-2-sagen-24-und-40-zahne-constructor-52134497</t>
        </is>
      </c>
      <c r="G87" t="inlineStr">
        <is>
          <t>DE</t>
        </is>
      </c>
    </row>
    <row r="88">
      <c r="A88" t="inlineStr">
        <is>
          <t>Crown</t>
        </is>
      </c>
      <c r="B88" t="inlineStr">
        <is>
          <t>CT15233P</t>
        </is>
      </c>
      <c r="C88" t="inlineStr">
        <is>
          <t>sliding</t>
        </is>
      </c>
      <c r="D88" t="n">
        <v>255</v>
      </c>
      <c r="E88" t="inlineStr">
        <is>
          <t>找不到經目視確認、對應這台機器的商品圖：Hepsiburada 只抓到整頁說明圖（內含小張機台圖，看得出單滑軌「radyal kesme」），不能當縮圖；下一輪補圖（2026-10-21 v11 目視）；10-21 補查只找到 Gigatools 的 CT15235P 圖，型號不同不用</t>
        </is>
      </c>
      <c r="F88" t="inlineStr">
        <is>
          <t>https://www.nl.ua/ua/pila-torcovochnaja-crown-ct15233p.html</t>
        </is>
      </c>
      <c r="G88" t="inlineStr">
        <is>
          <t>UA</t>
        </is>
      </c>
    </row>
    <row r="89">
      <c r="A89" t="inlineStr">
        <is>
          <t>Dedra</t>
        </is>
      </c>
      <c r="B89" t="inlineStr"/>
      <c r="C89" t="inlineStr">
        <is>
          <t>table</t>
        </is>
      </c>
      <c r="E89" t="inlineStr">
        <is>
          <t>來源頁看不到型號；來源頁看不到刀片直徑；交期 10 天以上（Consegna tra mer, 18/11 e mer, 25/11）</t>
        </is>
      </c>
      <c r="F89" t="inlineStr">
        <is>
          <t>https://www.galaxus.it/it/s4/product/dedra-sega-circolare-da-tavolo-2000w-sega-circolare-da-tavolo-35615381</t>
        </is>
      </c>
      <c r="G89" t="inlineStr">
        <is>
          <t>IT</t>
        </is>
      </c>
    </row>
    <row r="90">
      <c r="A90" t="inlineStr">
        <is>
          <t>Dedra</t>
        </is>
      </c>
      <c r="B90" t="inlineStr"/>
      <c r="C90" t="inlineStr">
        <is>
          <t>table</t>
        </is>
      </c>
      <c r="E90" t="inlineStr">
        <is>
          <t>來源頁看不到型號；來源頁看不到刀片直徑；交期 10 天以上（Livré entre mer, 18/11 et mer, 25/11）</t>
        </is>
      </c>
      <c r="F90" t="inlineStr">
        <is>
          <t>https://www.galaxus.be/fr/s4/product/dedra-scie-circulaire-a-table-2000w-scie-circulaire-sur-table-35615381</t>
        </is>
      </c>
      <c r="G90" t="inlineStr">
        <is>
          <t>BE</t>
        </is>
      </c>
    </row>
    <row r="91">
      <c r="A91" t="inlineStr">
        <is>
          <t>Dedra</t>
        </is>
      </c>
      <c r="B91" t="inlineStr"/>
      <c r="C91" t="inlineStr">
        <is>
          <t>sliding</t>
        </is>
      </c>
      <c r="D91" t="n">
        <v>254</v>
      </c>
      <c r="E91" t="inlineStr">
        <is>
          <t>來源頁看不到型號；Cdiscount 市集賣家 MORELE.NET（波蘭），跨國賣家不算該國通路；比照第 14 版 MediaMarkt AT（2026-10-21 使用者表單「一併不採」，10-22 第 15 版套用到前幾版的頁）</t>
        </is>
      </c>
      <c r="F91" t="inlineStr">
        <is>
          <t>https://www.cdiscount.com/bricolage/outillage/scie--onglets---dedra---255/f-166010106-aacpq50153.html</t>
        </is>
      </c>
      <c r="G91" t="inlineStr">
        <is>
          <t>FR</t>
        </is>
      </c>
    </row>
    <row r="92">
      <c r="A92" t="inlineStr">
        <is>
          <t>DeWalt</t>
        </is>
      </c>
      <c r="B92" t="inlineStr">
        <is>
          <t>18V XR Recip Saw</t>
        </is>
      </c>
      <c r="C92" t="inlineStr">
        <is>
          <t>undetermined</t>
        </is>
      </c>
      <c r="E92" t="inlineStr">
        <is>
          <t>來源頁看不到刀片直徑；產品線判不出（來源頁看不出有沒有滑軌）</t>
        </is>
      </c>
      <c r="F92" t="inlineStr">
        <is>
          <t>https://www.woodies.ie/dewalt-18v-xr-recip-saw-bare-unit-battery-not-included-1147996</t>
        </is>
      </c>
      <c r="G92" t="inlineStr">
        <is>
          <t>IE</t>
        </is>
      </c>
    </row>
    <row r="93">
      <c r="A93" t="inlineStr">
        <is>
          <t>DeWalt</t>
        </is>
      </c>
      <c r="B93" t="inlineStr">
        <is>
          <t>D28715</t>
        </is>
      </c>
      <c r="C93" t="inlineStr">
        <is>
          <t>compound</t>
        </is>
      </c>
      <c r="E93" t="inlineStr">
        <is>
          <t>來源頁看不到刀片直徑</t>
        </is>
      </c>
      <c r="F93" t="inlineStr">
        <is>
          <t>https://www.galaxus.fr/fr/s4/product/dewalt-d28715-scie-a-onglet-17940230</t>
        </is>
      </c>
      <c r="G93" t="inlineStr">
        <is>
          <t>FR</t>
        </is>
      </c>
    </row>
    <row r="94">
      <c r="A94" t="inlineStr">
        <is>
          <t>DeWalt</t>
        </is>
      </c>
      <c r="B94" t="inlineStr">
        <is>
          <t>D28730</t>
        </is>
      </c>
      <c r="C94" t="inlineStr">
        <is>
          <t>compound</t>
        </is>
      </c>
      <c r="D94" t="n">
        <v>355</v>
      </c>
      <c r="E94" t="inlineStr">
        <is>
          <t>刀片直徑不在 222～267 mm</t>
        </is>
      </c>
      <c r="F94" t="inlineStr">
        <is>
          <t>https://www.sitebox.ltd.uk/dewalt-portable-cut-off-saw-335mm-blade-110v-or-240v-code-d28730-oD28730</t>
        </is>
      </c>
      <c r="G94" t="inlineStr">
        <is>
          <t>GB</t>
        </is>
      </c>
    </row>
    <row r="95">
      <c r="A95" t="inlineStr">
        <is>
          <t>DeWalt</t>
        </is>
      </c>
      <c r="B95" t="inlineStr">
        <is>
          <t>DCS365M2-GB</t>
        </is>
      </c>
      <c r="C95" t="inlineStr">
        <is>
          <t>sliding</t>
        </is>
      </c>
      <c r="D95" t="n">
        <v>184</v>
      </c>
      <c r="E95" t="inlineStr">
        <is>
          <t>刀片直徑不在 222～267 mm</t>
        </is>
      </c>
      <c r="F95" t="inlineStr">
        <is>
          <t>https://www.diy.com/departments/dewalt-18v-xr-cordless-sliding-mitre-saw-dcs365m2-gb/5035048613948_BQ.prd</t>
        </is>
      </c>
      <c r="G95" t="inlineStr">
        <is>
          <t>GB</t>
        </is>
      </c>
    </row>
    <row r="96">
      <c r="A96" t="inlineStr">
        <is>
          <t>DeWalt</t>
        </is>
      </c>
      <c r="B96" t="inlineStr">
        <is>
          <t>DCS365N-XJ</t>
        </is>
      </c>
      <c r="C96" t="inlineStr">
        <is>
          <t>sliding</t>
        </is>
      </c>
      <c r="D96" t="n">
        <v>184</v>
      </c>
      <c r="E96" t="inlineStr">
        <is>
          <t>刀片直徑不在 222～267 mm</t>
        </is>
      </c>
      <c r="F96" t="inlineStr">
        <is>
          <t>https://www.hornbach.at/p/akku-paneelsaege-dewalt-dcs365n-xj-18-v-ohne-akku-und-ladegeraet/6071274/</t>
        </is>
      </c>
      <c r="G96" t="inlineStr">
        <is>
          <t>AT</t>
        </is>
      </c>
    </row>
    <row r="97">
      <c r="A97" t="inlineStr">
        <is>
          <t>DeWalt</t>
        </is>
      </c>
      <c r="B97" t="inlineStr">
        <is>
          <t>DCS7485</t>
        </is>
      </c>
      <c r="C97" t="inlineStr">
        <is>
          <t>table</t>
        </is>
      </c>
      <c r="D97" t="n">
        <v>210</v>
      </c>
      <c r="E97" t="inlineStr">
        <is>
          <t>刀片直徑不在 222～267 mm</t>
        </is>
      </c>
      <c r="F97" t="inlineStr">
        <is>
          <t>https://www.chadwicks.ie/dewalt-table-saw-dwdcs7485t2-gb-53062.html</t>
        </is>
      </c>
      <c r="G97" t="inlineStr">
        <is>
          <t>IE</t>
        </is>
      </c>
    </row>
    <row r="98">
      <c r="A98" t="inlineStr">
        <is>
          <t>DeWalt</t>
        </is>
      </c>
      <c r="B98" t="inlineStr">
        <is>
          <t>DCS7485N</t>
        </is>
      </c>
      <c r="C98" t="inlineStr">
        <is>
          <t>table</t>
        </is>
      </c>
      <c r="D98" t="n">
        <v>210</v>
      </c>
      <c r="E98" t="inlineStr">
        <is>
          <t>刀片直徑不在 222～267 mm</t>
        </is>
      </c>
      <c r="F98" t="inlineStr">
        <is>
          <t>https://www.diy.com/departments/dewalt-dcs7485n-54v-xr-flexvolt-cordless-portable-table-saw-bare-tool/5035048650868_BQ.prd</t>
        </is>
      </c>
      <c r="G98" t="inlineStr">
        <is>
          <t>GB</t>
        </is>
      </c>
    </row>
    <row r="99">
      <c r="A99" t="inlineStr">
        <is>
          <t>DeWalt</t>
        </is>
      </c>
      <c r="B99" t="inlineStr">
        <is>
          <t>DCS7485T1</t>
        </is>
      </c>
      <c r="C99" t="inlineStr">
        <is>
          <t>table</t>
        </is>
      </c>
      <c r="D99" t="n">
        <v>210</v>
      </c>
      <c r="E99" t="inlineStr">
        <is>
          <t>刀片直徑不在 222～267 mm</t>
        </is>
      </c>
      <c r="F99" t="inlineStr">
        <is>
          <t>https://www.diy.com/departments/dewalt-dcs7485t1-54v-xr-flexvolt-portable-table-saw-cordless-1-x-6-0ah-battery/5056709516507_BQ.prd</t>
        </is>
      </c>
      <c r="G99" t="inlineStr">
        <is>
          <t>GB</t>
        </is>
      </c>
    </row>
    <row r="100">
      <c r="A100" t="inlineStr">
        <is>
          <t>DeWalt</t>
        </is>
      </c>
      <c r="B100" t="inlineStr">
        <is>
          <t>DCS7485T2</t>
        </is>
      </c>
      <c r="C100" t="inlineStr">
        <is>
          <t>table</t>
        </is>
      </c>
      <c r="D100" t="n">
        <v>210</v>
      </c>
      <c r="E100" t="inlineStr">
        <is>
          <t>刀片直徑不在 222～267 mm</t>
        </is>
      </c>
      <c r="F100" t="inlineStr">
        <is>
          <t>https://www.diy.com/departments/dewalt-dcs7485t2-54v-xr-flexvolt-cordless-portable-table-saw-2-x-6-0ah-batteries/5055995528232_BQ.prd</t>
        </is>
      </c>
      <c r="G100" t="inlineStr">
        <is>
          <t>GB</t>
        </is>
      </c>
    </row>
    <row r="101">
      <c r="A101" t="inlineStr">
        <is>
          <t>DeWalt</t>
        </is>
      </c>
      <c r="B101" t="inlineStr">
        <is>
          <t>DCS777N-XJ</t>
        </is>
      </c>
      <c r="C101" t="inlineStr">
        <is>
          <t>compound</t>
        </is>
      </c>
      <c r="D101" t="n">
        <v>216</v>
      </c>
      <c r="E101" t="inlineStr">
        <is>
          <t>刀片直徑不在 222～267 mm</t>
        </is>
      </c>
      <c r="F101" t="inlineStr">
        <is>
          <t>https://www.hornbach.at/p/kapp-und-gehrungssaege-dewalt-dcs777n-xj-18-54-v-ohne-akku-und-ohne-ladegeraet/6771278/</t>
        </is>
      </c>
      <c r="G101" t="inlineStr">
        <is>
          <t>AT</t>
        </is>
      </c>
    </row>
    <row r="102">
      <c r="A102" t="inlineStr">
        <is>
          <t>DeWalt</t>
        </is>
      </c>
      <c r="B102" t="inlineStr">
        <is>
          <t>DCS781N-XJ</t>
        </is>
      </c>
      <c r="C102" t="inlineStr">
        <is>
          <t>compound</t>
        </is>
      </c>
      <c r="D102" t="n">
        <v>305</v>
      </c>
      <c r="E102" t="inlineStr">
        <is>
          <t>刀片直徑不在 222～267 mm</t>
        </is>
      </c>
      <c r="F102" t="inlineStr">
        <is>
          <t>https://www.hornbach.at/p/kapp-und-gehrungssaege-dewalt-dcs781n-xj-54-v-ohne-akku-und-ohne-ladegeraet/12011673/</t>
        </is>
      </c>
      <c r="G102" t="inlineStr">
        <is>
          <t>AT</t>
        </is>
      </c>
    </row>
    <row r="103">
      <c r="A103" t="inlineStr">
        <is>
          <t>DeWalt</t>
        </is>
      </c>
      <c r="B103" t="inlineStr">
        <is>
          <t>DW743N</t>
        </is>
      </c>
      <c r="C103" t="inlineStr">
        <is>
          <t>compound</t>
        </is>
      </c>
      <c r="D103" t="n">
        <v>250</v>
      </c>
      <c r="E103" t="inlineStr">
        <is>
          <t>複合機（翻轉鋸或上方附台的斜切鋸）不收</t>
        </is>
      </c>
      <c r="F103" t="inlineStr">
        <is>
          <t>https://www.manomano.de/p/dewalt-tisch-kapp-und-gehrungssage-dw743n-5190</t>
        </is>
      </c>
      <c r="G103" t="inlineStr">
        <is>
          <t>DE</t>
        </is>
      </c>
    </row>
    <row r="104">
      <c r="A104" t="inlineStr">
        <is>
          <t>DeWalt</t>
        </is>
      </c>
      <c r="B104" t="inlineStr">
        <is>
          <t>DW743NQS</t>
        </is>
      </c>
      <c r="C104" t="inlineStr">
        <is>
          <t>table</t>
        </is>
      </c>
      <c r="D104" t="n">
        <v>250</v>
      </c>
      <c r="E104" t="inlineStr">
        <is>
          <t>複合機（翻轉鋸或上方附台的斜切鋸）不收</t>
        </is>
      </c>
      <c r="F104" t="inlineStr">
        <is>
          <t>https://www.castorama.fr/scie-sur-table-dewalt-dw743nqs-2000w/5035048161951_CAFR.prd</t>
        </is>
      </c>
      <c r="G104" t="inlineStr">
        <is>
          <t>FR</t>
        </is>
      </c>
    </row>
    <row r="105">
      <c r="A105" t="inlineStr">
        <is>
          <t>DeWalt</t>
        </is>
      </c>
      <c r="B105" t="inlineStr">
        <is>
          <t>DWE7485-QS</t>
        </is>
      </c>
      <c r="C105" t="inlineStr">
        <is>
          <t>table</t>
        </is>
      </c>
      <c r="D105" t="n">
        <v>210</v>
      </c>
      <c r="E105" t="inlineStr">
        <is>
          <t>刀片直徑不在 222～267 mm</t>
        </is>
      </c>
      <c r="F105" t="inlineStr">
        <is>
          <t>https://www.manomano.es/p/sierra-de-mesa-dewalt-dwe7485-35219226</t>
        </is>
      </c>
      <c r="G105" t="inlineStr">
        <is>
          <t>ES</t>
        </is>
      </c>
    </row>
    <row r="106">
      <c r="A106" t="inlineStr">
        <is>
          <t>DeWalt</t>
        </is>
      </c>
      <c r="B106" t="inlineStr">
        <is>
          <t>DWE7485L</t>
        </is>
      </c>
      <c r="C106" t="inlineStr">
        <is>
          <t>table</t>
        </is>
      </c>
      <c r="D106" t="n">
        <v>210</v>
      </c>
      <c r="E106" t="inlineStr">
        <is>
          <t>刀片直徑不在 222～267 mm；套裝價（含其他物品），不算機台價（10-19 表單）</t>
        </is>
      </c>
      <c r="F106" t="inlineStr">
        <is>
          <t>https://www.chadwicks.ie/dewalt-compact-table-saw-dwe7485l-110v-comes-with-stand-53000.html</t>
        </is>
      </c>
      <c r="G106" t="inlineStr">
        <is>
          <t>IE</t>
        </is>
      </c>
    </row>
    <row r="107">
      <c r="A107" t="inlineStr">
        <is>
          <t>DeWalt</t>
        </is>
      </c>
      <c r="B107" t="inlineStr">
        <is>
          <t>DWE7485RS-QS</t>
        </is>
      </c>
      <c r="C107" t="inlineStr">
        <is>
          <t>table</t>
        </is>
      </c>
      <c r="D107" t="n">
        <v>210</v>
      </c>
      <c r="E107" t="inlineStr">
        <is>
          <t>刀片直徑不在 222～267 mm</t>
        </is>
      </c>
      <c r="F107" t="inlineStr">
        <is>
          <t>https://www.manomano.es/p/sierra-de-mesa-dewalt-dwe7485rs-36636046</t>
        </is>
      </c>
      <c r="G107" t="inlineStr">
        <is>
          <t>ES</t>
        </is>
      </c>
    </row>
    <row r="108">
      <c r="A108" t="inlineStr">
        <is>
          <t>DeWalt</t>
        </is>
      </c>
      <c r="B108" t="inlineStr">
        <is>
          <t>DWS773-QS</t>
        </is>
      </c>
      <c r="C108" t="inlineStr">
        <is>
          <t>sliding</t>
        </is>
      </c>
      <c r="D108" t="n">
        <v>216</v>
      </c>
      <c r="E108" t="inlineStr">
        <is>
          <t>刀片直徑不在 222～267 mm</t>
        </is>
      </c>
      <c r="F108" t="inlineStr">
        <is>
          <t>https://www.hornbach.ch/de/p/dewalt-kapp-und-gehrungssaege-dws773-qs-1300w-inklusive-24-zahn-hm-saegeblatt/6123491/</t>
        </is>
      </c>
      <c r="G108" t="inlineStr">
        <is>
          <t>CH</t>
        </is>
      </c>
    </row>
    <row r="109">
      <c r="A109" t="inlineStr">
        <is>
          <t>DeWalt</t>
        </is>
      </c>
      <c r="B109" t="inlineStr">
        <is>
          <t>DWS774-QS</t>
        </is>
      </c>
      <c r="C109" t="inlineStr">
        <is>
          <t>sliding</t>
        </is>
      </c>
      <c r="D109" t="n">
        <v>216</v>
      </c>
      <c r="E109" t="inlineStr">
        <is>
          <t>刀片直徑不在 222～267 mm</t>
        </is>
      </c>
      <c r="F109" t="inlineStr">
        <is>
          <t>https://www.toolstation.be/dewalt-dws774-qs-radiaal-afkort-verstekzaagmachine/p15129</t>
        </is>
      </c>
      <c r="G109" t="inlineStr">
        <is>
          <t>BE</t>
        </is>
      </c>
    </row>
    <row r="110">
      <c r="A110" t="inlineStr">
        <is>
          <t>DeWalt</t>
        </is>
      </c>
      <c r="B110" t="inlineStr">
        <is>
          <t>DWS777-QS</t>
        </is>
      </c>
      <c r="C110" t="inlineStr">
        <is>
          <t>compound</t>
        </is>
      </c>
      <c r="D110" t="n">
        <v>216</v>
      </c>
      <c r="E110" t="inlineStr">
        <is>
          <t>刀片直徑不在 222～267 mm</t>
        </is>
      </c>
      <c r="F110" t="inlineStr">
        <is>
          <t>https://www.toolstation.be/dewalt-dws777-qs-afkort-verstekzaag/p44800</t>
        </is>
      </c>
      <c r="G110" t="inlineStr">
        <is>
          <t>BE</t>
        </is>
      </c>
    </row>
    <row r="111">
      <c r="A111" t="inlineStr">
        <is>
          <t>DeWalt</t>
        </is>
      </c>
      <c r="B111" t="inlineStr">
        <is>
          <t>DWS780-QS</t>
        </is>
      </c>
      <c r="C111" t="inlineStr">
        <is>
          <t>sliding</t>
        </is>
      </c>
      <c r="D111" t="n">
        <v>305</v>
      </c>
      <c r="E111" t="inlineStr">
        <is>
          <t>刀片直徑不在 222～267 mm</t>
        </is>
      </c>
      <c r="F111" t="inlineStr">
        <is>
          <t>https://www.toolstation.be/dewalt-dws780-qs-radiaal-afkort-verstekzaagmachine/p24433</t>
        </is>
      </c>
      <c r="G111" t="inlineStr">
        <is>
          <t>BE</t>
        </is>
      </c>
    </row>
    <row r="112">
      <c r="A112" t="inlineStr">
        <is>
          <t>Die Grup</t>
        </is>
      </c>
      <c r="B112" t="inlineStr"/>
      <c r="C112" t="inlineStr">
        <is>
          <t>compound</t>
        </is>
      </c>
      <c r="E112" t="inlineStr">
        <is>
          <t>來源頁看不到型號；來源頁看不到刀片直徑</t>
        </is>
      </c>
      <c r="F112" t="inlineStr">
        <is>
          <t>https://www.hepsiburada.com/cift-yatarli-gonye-kesme-makinesi-255-mm-1800-w-guc-pm-HBC0000K7G2FT</t>
        </is>
      </c>
      <c r="G112" t="inlineStr">
        <is>
          <t>TR</t>
        </is>
      </c>
    </row>
    <row r="113">
      <c r="A113" t="inlineStr">
        <is>
          <t>Draper</t>
        </is>
      </c>
      <c r="B113" t="inlineStr"/>
      <c r="C113" t="inlineStr">
        <is>
          <t>sliding</t>
        </is>
      </c>
      <c r="D113" t="n">
        <v>255</v>
      </c>
      <c r="E113" t="inlineStr">
        <is>
          <t>來源頁看不到型號</t>
        </is>
      </c>
      <c r="F113" t="inlineStr">
        <is>
          <t>https://www.toolstation.com/draper-255mm-sliding-compound-mitre-saw/p13082</t>
        </is>
      </c>
      <c r="G113" t="inlineStr">
        <is>
          <t>GB</t>
        </is>
      </c>
    </row>
    <row r="114">
      <c r="A114" t="inlineStr">
        <is>
          <t>Draper</t>
        </is>
      </c>
      <c r="B114" t="inlineStr"/>
      <c r="C114" t="inlineStr">
        <is>
          <t>undetermined</t>
        </is>
      </c>
      <c r="E114" t="inlineStr">
        <is>
          <t>來源頁看不到型號；來源頁看不到刀片直徑；產品線判不出（來源頁看不出有沒有滑軌）；沒有可用的含稅售價</t>
        </is>
      </c>
      <c r="F114" t="inlineStr">
        <is>
          <t>https://www.wickes.co.uk/Draper-VENOM%C2%AE-First-Fix-Double-Ground-Tool-Box-Saw---350mm/p/262009</t>
        </is>
      </c>
      <c r="G114" t="inlineStr">
        <is>
          <t>GB</t>
        </is>
      </c>
    </row>
    <row r="115">
      <c r="A115" t="inlineStr">
        <is>
          <t>Draper</t>
        </is>
      </c>
      <c r="B115" t="inlineStr">
        <is>
          <t>42869</t>
        </is>
      </c>
      <c r="C115" t="inlineStr">
        <is>
          <t>sliding</t>
        </is>
      </c>
      <c r="E115" t="inlineStr">
        <is>
          <t>來源頁看不到刀片直徑</t>
        </is>
      </c>
      <c r="F115" t="inlineStr">
        <is>
          <t>https://www.toolstation.com/draper-2000w-double-bevel-sliding-compound-mitre-saw/p42869</t>
        </is>
      </c>
      <c r="G115" t="inlineStr">
        <is>
          <t>GB</t>
        </is>
      </c>
    </row>
    <row r="116">
      <c r="A116" t="inlineStr">
        <is>
          <t>Draper</t>
        </is>
      </c>
      <c r="B116" t="inlineStr">
        <is>
          <t>BTS256A</t>
        </is>
      </c>
      <c r="C116" t="inlineStr">
        <is>
          <t>table</t>
        </is>
      </c>
      <c r="D116" t="n">
        <v>250</v>
      </c>
      <c r="E116" t="inlineStr">
        <is>
          <t>找不到經目視確認、對應這台機器的商品圖：圖片網址被機器人驗證擋住（tooled-up），沒有可確認的圖</t>
        </is>
      </c>
      <c r="F116" t="inlineStr">
        <is>
          <t>https://www.tooled-up.com/draper-bts256a-sliding-table-saw-250mm/prod/516293/</t>
        </is>
      </c>
      <c r="G116" t="inlineStr">
        <is>
          <t>GB</t>
        </is>
      </c>
    </row>
    <row r="117">
      <c r="A117" t="inlineStr">
        <is>
          <t>Draper</t>
        </is>
      </c>
      <c r="B117" t="inlineStr">
        <is>
          <t>SMS250D1800</t>
        </is>
      </c>
      <c r="C117" t="inlineStr">
        <is>
          <t>sliding</t>
        </is>
      </c>
      <c r="D117" t="n">
        <v>255</v>
      </c>
      <c r="E117" t="inlineStr">
        <is>
          <t>找不到經目視確認、對應這台機器的商品圖：Wickes 售價頁沒抓到圖；下一輪補圖（2026-10-21）</t>
        </is>
      </c>
      <c r="F117" t="inlineStr">
        <is>
          <t>https://www.wickes.co.uk/Draper-SMS250D1800-255mm-Corded-Sliding-Compound-Mitre-Saw---1800W/p/299640</t>
        </is>
      </c>
      <c r="G117" t="inlineStr">
        <is>
          <t>GB</t>
        </is>
      </c>
    </row>
    <row r="118">
      <c r="A118" t="inlineStr">
        <is>
          <t>Draper</t>
        </is>
      </c>
      <c r="B118" t="inlineStr">
        <is>
          <t>SMS255E</t>
        </is>
      </c>
      <c r="C118" t="inlineStr">
        <is>
          <t>sliding</t>
        </is>
      </c>
      <c r="D118" t="n">
        <v>255</v>
      </c>
      <c r="E118" t="inlineStr">
        <is>
          <t>找不到經目視確認、對應這台機器的商品圖：圖片網址被機器人驗證擋住（tooled-up），沒有可確認的圖</t>
        </is>
      </c>
      <c r="F118" t="inlineStr">
        <is>
          <t>https://www.tooled-up.com/draper-expert-sms255e-double-bevel-sliding-compound-mitre-saw-255mm/prod/473890/</t>
        </is>
      </c>
      <c r="G118" t="inlineStr">
        <is>
          <t>GB</t>
        </is>
      </c>
    </row>
    <row r="119">
      <c r="A119" t="inlineStr">
        <is>
          <t>Dremel</t>
        </is>
      </c>
      <c r="B119" t="inlineStr">
        <is>
          <t>CS12V</t>
        </is>
      </c>
      <c r="C119" t="inlineStr">
        <is>
          <t>undetermined</t>
        </is>
      </c>
      <c r="D119" t="n">
        <v>85</v>
      </c>
      <c r="E119" t="inlineStr">
        <is>
          <t>刀片直徑不在 222～267 mm；產品線判不出（來源頁看不出有沒有滑軌）</t>
        </is>
      </c>
      <c r="F119" t="inlineStr">
        <is>
          <t>https://www.hornbach.de/p/mobile-saegestation-akku-dremel-cs12v-2-ah-inkl-akku-und-ladegeraet/12359345/</t>
        </is>
      </c>
      <c r="G119" t="inlineStr">
        <is>
          <t>DE</t>
        </is>
      </c>
    </row>
    <row r="120">
      <c r="A120" t="inlineStr">
        <is>
          <t>Dremel</t>
        </is>
      </c>
      <c r="B120" t="inlineStr">
        <is>
          <t>CS12V-SC1</t>
        </is>
      </c>
      <c r="C120" t="inlineStr">
        <is>
          <t>compound</t>
        </is>
      </c>
      <c r="E120" t="inlineStr">
        <is>
          <t>來源頁看不到刀片直徑；交期 10 天以上（Livré entre jeu, 5/11 et sam, 14/11）</t>
        </is>
      </c>
      <c r="F120" t="inlineStr">
        <is>
          <t>https://www.galaxus.fr/fr/s4/product/dremel-cs12v-sc1-scie-a-onglet-56600016</t>
        </is>
      </c>
      <c r="G120" t="inlineStr">
        <is>
          <t>FR</t>
        </is>
      </c>
    </row>
    <row r="121">
      <c r="A121" t="inlineStr">
        <is>
          <t>Drillpro</t>
        </is>
      </c>
      <c r="B121" t="inlineStr"/>
      <c r="C121" t="inlineStr">
        <is>
          <t>compound</t>
        </is>
      </c>
      <c r="D121" t="n">
        <v>255</v>
      </c>
      <c r="E121" t="inlineStr">
        <is>
          <t>來源頁看不到型號</t>
        </is>
      </c>
      <c r="F121" t="inlineStr">
        <is>
          <t>https://www.hepsiburada.com/tam-profesyonel-gonye-kesme-kafa-kesme-testere-makinesi-2000w-255mm-pm-HBC0000KMXOPL</t>
        </is>
      </c>
      <c r="G121" t="inlineStr">
        <is>
          <t>TR</t>
        </is>
      </c>
    </row>
    <row r="122">
      <c r="A122" t="inlineStr">
        <is>
          <t>Einhell</t>
        </is>
      </c>
      <c r="B122" t="inlineStr"/>
      <c r="C122" t="inlineStr">
        <is>
          <t>table</t>
        </is>
      </c>
      <c r="D122" t="n">
        <v>250</v>
      </c>
      <c r="E122" t="inlineStr">
        <is>
          <t>來源頁看不到型號；只有缺貨的價格</t>
        </is>
      </c>
      <c r="F122" t="inlineStr">
        <is>
          <t>https://www.toolstation.com/einhell-250mm-table-saw-and-stand/p61115</t>
        </is>
      </c>
      <c r="G122" t="inlineStr">
        <is>
          <t>GB</t>
        </is>
      </c>
    </row>
    <row r="123">
      <c r="A123" t="inlineStr">
        <is>
          <t>Einhell</t>
        </is>
      </c>
      <c r="B123" t="inlineStr"/>
      <c r="C123" t="inlineStr">
        <is>
          <t>table</t>
        </is>
      </c>
      <c r="D123" t="n">
        <v>254</v>
      </c>
      <c r="E123" t="inlineStr">
        <is>
          <t>來源頁看不到型號；只有缺貨的價格</t>
        </is>
      </c>
      <c r="F123" t="inlineStr">
        <is>
          <t>https://www.toolstation.com/einhell-2000w-254mm-bench-top-table-saw/pAB458</t>
        </is>
      </c>
      <c r="G123" t="inlineStr">
        <is>
          <t>GB</t>
        </is>
      </c>
    </row>
    <row r="124">
      <c r="A124" t="inlineStr">
        <is>
          <t>Einhell</t>
        </is>
      </c>
      <c r="B124" t="inlineStr"/>
      <c r="C124" t="inlineStr">
        <is>
          <t>table</t>
        </is>
      </c>
      <c r="D124" t="n">
        <v>250</v>
      </c>
      <c r="E124" t="inlineStr">
        <is>
          <t>來源頁看不到型號</t>
        </is>
      </c>
      <c r="F124" t="inlineStr">
        <is>
          <t>https://www.hagebau.at/p/einhell-tischkreissaege-einhell-expert-1500-w-oe-saegeblatt-250-mm-anP7000251507/</t>
        </is>
      </c>
      <c r="G124" t="inlineStr">
        <is>
          <t>AT</t>
        </is>
      </c>
    </row>
    <row r="125">
      <c r="A125" t="inlineStr">
        <is>
          <t>Einhell</t>
        </is>
      </c>
      <c r="B125" t="inlineStr"/>
      <c r="C125" t="inlineStr">
        <is>
          <t>sliding</t>
        </is>
      </c>
      <c r="D125" t="n">
        <v>254</v>
      </c>
      <c r="E125" t="inlineStr">
        <is>
          <t>來源頁看不到型號；套裝價（含其他物品），不算機台價（10-19 表單）</t>
        </is>
      </c>
      <c r="F125" t="inlineStr">
        <is>
          <t>https://www.toolstation.com/einhell-254mm-single-bevel-sliding-mitre-saw-with-stand/p79940</t>
        </is>
      </c>
      <c r="G125" t="inlineStr">
        <is>
          <t>GB</t>
        </is>
      </c>
    </row>
    <row r="126">
      <c r="A126" t="inlineStr">
        <is>
          <t>Einhell</t>
        </is>
      </c>
      <c r="B126" t="inlineStr"/>
      <c r="C126" t="inlineStr">
        <is>
          <t>table</t>
        </is>
      </c>
      <c r="D126" t="n">
        <v>254</v>
      </c>
      <c r="E126" t="inlineStr">
        <is>
          <t>來源頁看不到型號；只有缺貨的價格</t>
        </is>
      </c>
      <c r="F126" t="inlineStr">
        <is>
          <t>https://www.toolstation.com/einhell-254mm-2200w-extendable-table-saw/p67316</t>
        </is>
      </c>
      <c r="G126" t="inlineStr">
        <is>
          <t>GB</t>
        </is>
      </c>
    </row>
    <row r="127">
      <c r="A127" t="inlineStr">
        <is>
          <t>Einhell</t>
        </is>
      </c>
      <c r="B127" t="inlineStr"/>
      <c r="C127" t="inlineStr">
        <is>
          <t>sliding</t>
        </is>
      </c>
      <c r="D127" t="n">
        <v>254</v>
      </c>
      <c r="E127" t="inlineStr">
        <is>
          <t>來源頁看不到型號</t>
        </is>
      </c>
      <c r="F127" t="inlineStr">
        <is>
          <t>https://www.toolstation.com/einhell-pxc-36v-sliding-mitre-saw-254mm/pAB491</t>
        </is>
      </c>
      <c r="G127" t="inlineStr">
        <is>
          <t>GB</t>
        </is>
      </c>
    </row>
    <row r="128">
      <c r="A128" t="inlineStr">
        <is>
          <t>Einhell</t>
        </is>
      </c>
      <c r="B128" t="inlineStr"/>
      <c r="C128" t="inlineStr">
        <is>
          <t>sliding</t>
        </is>
      </c>
      <c r="D128" t="n">
        <v>254</v>
      </c>
      <c r="E128" t="inlineStr">
        <is>
          <t>來源頁看不到型號</t>
        </is>
      </c>
      <c r="F128" t="inlineStr">
        <is>
          <t>https://www.toolstation.com/einhell-2100w-254mm-double-bevel-sliding-mitre-saw/pAB459</t>
        </is>
      </c>
      <c r="G128" t="inlineStr">
        <is>
          <t>GB</t>
        </is>
      </c>
    </row>
    <row r="129">
      <c r="A129" t="inlineStr">
        <is>
          <t>Einhell</t>
        </is>
      </c>
      <c r="B129" t="inlineStr"/>
      <c r="C129" t="inlineStr">
        <is>
          <t>table</t>
        </is>
      </c>
      <c r="D129" t="n">
        <v>254</v>
      </c>
      <c r="E129" t="inlineStr">
        <is>
          <t>來源頁看不到型號</t>
        </is>
      </c>
      <c r="F129" t="inlineStr">
        <is>
          <t>https://www.hagebau.at/p/einhell-tischkreissaege-einhell-classic-1800-w-oe-saegeblatt-254-mm-anP7000251513/</t>
        </is>
      </c>
      <c r="G129" t="inlineStr">
        <is>
          <t>AT</t>
        </is>
      </c>
    </row>
    <row r="130">
      <c r="A130" t="inlineStr">
        <is>
          <t>Einhell</t>
        </is>
      </c>
      <c r="B130" t="inlineStr"/>
      <c r="C130" t="inlineStr">
        <is>
          <t>table</t>
        </is>
      </c>
      <c r="D130" t="n">
        <v>250</v>
      </c>
      <c r="E130" t="inlineStr">
        <is>
          <t>來源頁看不到型號</t>
        </is>
      </c>
      <c r="F130" t="inlineStr">
        <is>
          <t>https://www.toolstation.com/einhell-2000w-250mm-table-saw/p47537</t>
        </is>
      </c>
      <c r="G130" t="inlineStr">
        <is>
          <t>GB</t>
        </is>
      </c>
    </row>
    <row r="131">
      <c r="A131" t="inlineStr">
        <is>
          <t>Einhell</t>
        </is>
      </c>
      <c r="B131" t="inlineStr"/>
      <c r="C131" t="inlineStr">
        <is>
          <t>table</t>
        </is>
      </c>
      <c r="D131" t="n">
        <v>254</v>
      </c>
      <c r="E131" t="inlineStr">
        <is>
          <t>來源頁看不到型號；沒有可用的含稅售價</t>
        </is>
      </c>
      <c r="F131" t="inlineStr">
        <is>
          <t>https://www.hagebau.de/p/einhell-tischkreissaege-einhell-classic-1800-w-oe-saegeblatt-254-mm-anP7000251513/</t>
        </is>
      </c>
      <c r="G131" t="inlineStr">
        <is>
          <t>DE</t>
        </is>
      </c>
    </row>
    <row r="132">
      <c r="A132" t="inlineStr">
        <is>
          <t>Einhell</t>
        </is>
      </c>
      <c r="B132" t="inlineStr"/>
      <c r="C132" t="inlineStr">
        <is>
          <t>table</t>
        </is>
      </c>
      <c r="D132" t="n">
        <v>254</v>
      </c>
      <c r="E132" t="inlineStr">
        <is>
          <t>來源頁看不到型號</t>
        </is>
      </c>
      <c r="F132" t="inlineStr">
        <is>
          <t>https://www.toolstation.com/einhell-compact-table-saw-2000w/pAH822</t>
        </is>
      </c>
      <c r="G132" t="inlineStr">
        <is>
          <t>GB</t>
        </is>
      </c>
    </row>
    <row r="133">
      <c r="A133" t="inlineStr">
        <is>
          <t>Einhell</t>
        </is>
      </c>
      <c r="B133" t="inlineStr"/>
      <c r="C133" t="inlineStr">
        <is>
          <t>table</t>
        </is>
      </c>
      <c r="D133" t="n">
        <v>210</v>
      </c>
      <c r="E133" t="inlineStr">
        <is>
          <t>來源頁看不到型號；刀片直徑不在 222～267 mm</t>
        </is>
      </c>
      <c r="F133" t="inlineStr">
        <is>
          <t>https://www.obi.at/p/8623076/einhell-tischkreissaege-tc-ts-210</t>
        </is>
      </c>
      <c r="G133" t="inlineStr">
        <is>
          <t>AT</t>
        </is>
      </c>
    </row>
    <row r="134">
      <c r="A134" t="inlineStr">
        <is>
          <t>Einhell</t>
        </is>
      </c>
      <c r="B134" t="inlineStr"/>
      <c r="C134" t="inlineStr">
        <is>
          <t>table</t>
        </is>
      </c>
      <c r="E134" t="inlineStr">
        <is>
          <t>來源頁看不到型號；來源頁看不到刀片直徑</t>
        </is>
      </c>
      <c r="F134" t="inlineStr">
        <is>
          <t>https://www.praktiker.gr/p/diskopriono-pagkou-einhell-113775</t>
        </is>
      </c>
      <c r="G134" t="inlineStr">
        <is>
          <t>GR</t>
        </is>
      </c>
    </row>
    <row r="135">
      <c r="A135" t="inlineStr">
        <is>
          <t>Einhell</t>
        </is>
      </c>
      <c r="B135" t="inlineStr"/>
      <c r="C135" t="inlineStr">
        <is>
          <t>sliding</t>
        </is>
      </c>
      <c r="D135" t="n">
        <v>305</v>
      </c>
      <c r="E135" t="inlineStr">
        <is>
          <t>來源頁看不到型號；刀片直徑不在 222～267 mm；複合機（翻轉鋸或上方附台的斜切鋸）不收</t>
        </is>
      </c>
      <c r="F135" t="inlineStr">
        <is>
          <t>https://www.manomano.es/p/ingletadora-de-doble-corte-disco-305-tc-ms-3017-t-einhell-6093689</t>
        </is>
      </c>
      <c r="G135" t="inlineStr">
        <is>
          <t>ES</t>
        </is>
      </c>
    </row>
    <row r="136">
      <c r="A136" t="inlineStr">
        <is>
          <t>Einhell</t>
        </is>
      </c>
      <c r="B136" t="inlineStr"/>
      <c r="C136" t="inlineStr">
        <is>
          <t>undetermined</t>
        </is>
      </c>
      <c r="E136" t="inlineStr">
        <is>
          <t>來源頁看不到型號；來源頁看不到刀片直徑；產品線判不出（來源頁看不出有沒有滑軌）；沒有可用的含稅售價</t>
        </is>
      </c>
      <c r="F136" t="inlineStr">
        <is>
          <t>https://www.obi.at/p/8303042/einhell-accessory-hm-saegeblatt-hm-254-mm-x-30-mm-x-3-2-z48</t>
        </is>
      </c>
      <c r="G136" t="inlineStr">
        <is>
          <t>AT</t>
        </is>
      </c>
    </row>
    <row r="137">
      <c r="A137" t="inlineStr">
        <is>
          <t>Einhell</t>
        </is>
      </c>
      <c r="B137" t="inlineStr"/>
      <c r="C137" t="inlineStr">
        <is>
          <t>undetermined</t>
        </is>
      </c>
      <c r="E137" t="inlineStr">
        <is>
          <t>來源頁看不到型號；來源頁看不到刀片直徑；產品線判不出（來源頁看不出有沒有滑軌）；沒有可用的含稅售價</t>
        </is>
      </c>
      <c r="F137" t="inlineStr">
        <is>
          <t>https://www.obi.at/p/2191179494900/einhell-saegen-untergestell-e-stand-tss-klappbar-57-cm</t>
        </is>
      </c>
      <c r="G137" t="inlineStr">
        <is>
          <t>AT</t>
        </is>
      </c>
    </row>
    <row r="138">
      <c r="A138" t="inlineStr">
        <is>
          <t>Einhell</t>
        </is>
      </c>
      <c r="B138" t="inlineStr"/>
      <c r="C138" t="inlineStr">
        <is>
          <t>undetermined</t>
        </is>
      </c>
      <c r="E138" t="inlineStr">
        <is>
          <t>來源頁看不到型號；來源頁看不到刀片直徑；產品線判不出（來源頁看不出有沒有滑軌）；沒有可用的含稅售價</t>
        </is>
      </c>
      <c r="F138" t="inlineStr">
        <is>
          <t>https://www.obi-italia.it/p/1602044/lama-per-sega-circolare-250x30-mm-24-denti-einhell</t>
        </is>
      </c>
      <c r="G138" t="inlineStr">
        <is>
          <t>IT</t>
        </is>
      </c>
    </row>
    <row r="139">
      <c r="A139" t="inlineStr">
        <is>
          <t>Einhell</t>
        </is>
      </c>
      <c r="B139" t="inlineStr"/>
      <c r="C139" t="inlineStr">
        <is>
          <t>undetermined</t>
        </is>
      </c>
      <c r="E139" t="inlineStr">
        <is>
          <t>來源頁看不到型號；來源頁看不到刀片直徑；產品線判不出（來源頁看不出有沒有滑軌）；沒有可用的含稅售價</t>
        </is>
      </c>
      <c r="F139" t="inlineStr">
        <is>
          <t>https://www.toolstation.nl/einhell-mss-1610-afkort-verstekzaag-onderstel/p11705</t>
        </is>
      </c>
      <c r="G139" t="inlineStr">
        <is>
          <t>NL</t>
        </is>
      </c>
    </row>
    <row r="140">
      <c r="A140" t="inlineStr">
        <is>
          <t>Einhell</t>
        </is>
      </c>
      <c r="B140" t="inlineStr"/>
      <c r="C140" t="inlineStr">
        <is>
          <t>compound</t>
        </is>
      </c>
      <c r="E140" t="inlineStr">
        <is>
          <t>來源頁看不到型號；來源頁看不到刀片直徑</t>
        </is>
      </c>
      <c r="F140" t="inlineStr">
        <is>
          <t>https://www.elcorteingles.es/bricor/A28363403-ingletadora-electrica/</t>
        </is>
      </c>
      <c r="G140" t="inlineStr">
        <is>
          <t>ES</t>
        </is>
      </c>
    </row>
    <row r="141">
      <c r="A141" t="inlineStr">
        <is>
          <t>Einhell</t>
        </is>
      </c>
      <c r="B141" t="inlineStr"/>
      <c r="C141" t="inlineStr">
        <is>
          <t>sliding</t>
        </is>
      </c>
      <c r="D141" t="n">
        <v>210</v>
      </c>
      <c r="E141" t="inlineStr">
        <is>
          <t>來源頁看不到型號；刀片直徑不在 222～267 mm</t>
        </is>
      </c>
      <c r="F141" t="inlineStr">
        <is>
          <t>https://www.argos.co.uk/product/4196972?clickSR=slp:term:mitre saw:5:9:1</t>
        </is>
      </c>
      <c r="G141" t="inlineStr">
        <is>
          <t>GB</t>
        </is>
      </c>
    </row>
    <row r="142">
      <c r="A142" t="inlineStr">
        <is>
          <t>Einhell</t>
        </is>
      </c>
      <c r="B142" t="inlineStr">
        <is>
          <t>Dual Sliding Mitre Saw Corded 230v</t>
        </is>
      </c>
      <c r="C142" t="inlineStr">
        <is>
          <t>sliding</t>
        </is>
      </c>
      <c r="D142" t="n">
        <v>216</v>
      </c>
      <c r="E142" t="inlineStr">
        <is>
          <t>刀片直徑不在 222～267 mm</t>
        </is>
      </c>
      <c r="F142" t="inlineStr">
        <is>
          <t>https://www.woodies.ie/einhell-dual-sliding-mitre-saw-corded-230v</t>
        </is>
      </c>
      <c r="G142" t="inlineStr">
        <is>
          <t>IE</t>
        </is>
      </c>
    </row>
    <row r="143">
      <c r="A143" t="inlineStr">
        <is>
          <t>Einhell</t>
        </is>
      </c>
      <c r="B143" t="inlineStr">
        <is>
          <t>TC-MS 2112</t>
        </is>
      </c>
      <c r="C143" t="inlineStr">
        <is>
          <t>compound</t>
        </is>
      </c>
      <c r="D143" t="n">
        <v>210</v>
      </c>
      <c r="E143" t="inlineStr">
        <is>
          <t>刀片直徑不在 222～267 mm</t>
        </is>
      </c>
      <c r="F143" t="inlineStr">
        <is>
          <t>https://www.hornbach.at/p/kapp-gehrungssaege-einhell-tc-ms-2112-230-v/8413410/</t>
        </is>
      </c>
      <c r="G143" t="inlineStr">
        <is>
          <t>AT</t>
        </is>
      </c>
    </row>
    <row r="144">
      <c r="A144" t="inlineStr">
        <is>
          <t>Einhell</t>
        </is>
      </c>
      <c r="B144" t="inlineStr">
        <is>
          <t>TC-MS 3017 T</t>
        </is>
      </c>
      <c r="C144" t="inlineStr">
        <is>
          <t>sliding</t>
        </is>
      </c>
      <c r="D144" t="n">
        <v>305</v>
      </c>
      <c r="E144" t="inlineStr">
        <is>
          <t>刀片直徑不在 222～267 mm；複合機（翻轉鋸或上方附台的斜切鋸）不收</t>
        </is>
      </c>
      <c r="F144" t="inlineStr">
        <is>
          <t>https://www.cdiscount.com/bricolage/outillage/einhell-scie-a-onglet-avec-table-tc-ms-3017-t-200/f-166010106-ein4006825613056.html</t>
        </is>
      </c>
      <c r="G144" t="inlineStr">
        <is>
          <t>FR</t>
        </is>
      </c>
    </row>
    <row r="145">
      <c r="A145" t="inlineStr">
        <is>
          <t>Einhell</t>
        </is>
      </c>
      <c r="B145" t="inlineStr">
        <is>
          <t>TC-SM 2131 Dual</t>
        </is>
      </c>
      <c r="C145" t="inlineStr">
        <is>
          <t>sliding</t>
        </is>
      </c>
      <c r="D145" t="n">
        <v>210</v>
      </c>
      <c r="E145" t="inlineStr">
        <is>
          <t>刀片直徑不在 222～267 mm</t>
        </is>
      </c>
      <c r="F145" t="inlineStr">
        <is>
          <t>https://www.obi.at/p/1626662/einhell-zug-kapp-gehrungssaege-tc-sm-2131-1-dual</t>
        </is>
      </c>
      <c r="G145" t="inlineStr">
        <is>
          <t>AT</t>
        </is>
      </c>
    </row>
    <row r="146">
      <c r="A146" t="inlineStr">
        <is>
          <t>Einhell</t>
        </is>
      </c>
      <c r="B146" t="inlineStr">
        <is>
          <t>TC-SM 2131/1 Dual</t>
        </is>
      </c>
      <c r="C146" t="inlineStr">
        <is>
          <t>sliding</t>
        </is>
      </c>
      <c r="D146" t="n">
        <v>210</v>
      </c>
      <c r="E146" t="inlineStr">
        <is>
          <t>刀片直徑不在 222～267 mm</t>
        </is>
      </c>
      <c r="F146" t="inlineStr">
        <is>
          <t>https://www.cdiscount.com/bricolage/outillage/scie-a-onglet-radiale-tc-sm-2131-1-dual-1500w-einh/f-166010106-ein4006825644883.html?idOffre=4197166046&amp;sw=f1b87b9f813f88a06c00682ef1d258f70cd26b52adb5108ff397de4ad3b7167f558a351819f184a0c7abc9e78fef4d6fe4dde90916bcab65c30bc012780118ab54721995cc43b08b75b934fadd6781ab26b3a8c0d7b3a7906fdffbe8ac5c20b01bd03c4d6f1f012488cf76bf7f5b860ab17350a2ddf72df8895d4b087be0a20ecf2a095a84e928ca920c55c85d30342c</t>
        </is>
      </c>
      <c r="G146" t="inlineStr">
        <is>
          <t>FR</t>
        </is>
      </c>
    </row>
    <row r="147">
      <c r="A147" t="inlineStr">
        <is>
          <t>Einhell</t>
        </is>
      </c>
      <c r="B147" t="inlineStr">
        <is>
          <t>TC-SM 2131/2 Dual</t>
        </is>
      </c>
      <c r="C147" t="inlineStr">
        <is>
          <t>sliding</t>
        </is>
      </c>
      <c r="D147" t="n">
        <v>210</v>
      </c>
      <c r="E147" t="inlineStr">
        <is>
          <t>刀片直徑不在 222～267 mm</t>
        </is>
      </c>
      <c r="F147" t="inlineStr">
        <is>
          <t>https://www.hornbach.at/p/zug-kapp-gehrungssaege-einhell-tc-sm-2131-2-dual-230-v/10252228/</t>
        </is>
      </c>
      <c r="G147" t="inlineStr">
        <is>
          <t>AT</t>
        </is>
      </c>
    </row>
    <row r="148">
      <c r="A148" t="inlineStr">
        <is>
          <t>Einhell</t>
        </is>
      </c>
      <c r="B148" t="inlineStr">
        <is>
          <t>TC-SM 216</t>
        </is>
      </c>
      <c r="C148" t="inlineStr">
        <is>
          <t>sliding</t>
        </is>
      </c>
      <c r="D148" t="n">
        <v>216</v>
      </c>
      <c r="E148" t="inlineStr">
        <is>
          <t>刀片直徑不在 222～267 mm</t>
        </is>
      </c>
      <c r="F148" t="inlineStr">
        <is>
          <t>https://www.hornbach.de/p/zug-kapp-gehrungssaege-einhell-tc-sm-216/10244708/</t>
        </is>
      </c>
      <c r="G148" t="inlineStr">
        <is>
          <t>DE</t>
        </is>
      </c>
    </row>
    <row r="149">
      <c r="A149" t="inlineStr">
        <is>
          <t>Einhell</t>
        </is>
      </c>
      <c r="B149" t="inlineStr">
        <is>
          <t>TC-SM 2534/1 DU</t>
        </is>
      </c>
      <c r="C149" t="inlineStr">
        <is>
          <t>undetermined</t>
        </is>
      </c>
      <c r="E149" t="inlineStr">
        <is>
          <t>來源頁看不到刀片直徑；產品線判不出（來源頁看不出有沒有滑軌）</t>
        </is>
      </c>
      <c r="F149" t="inlineStr">
        <is>
          <t>https://www.elcorteingles.es/bricor/A44404008-ingletadora-tel-tc-sm-25341-du-2100-w/</t>
        </is>
      </c>
      <c r="G149" t="inlineStr">
        <is>
          <t>ES</t>
        </is>
      </c>
    </row>
    <row r="150">
      <c r="A150" t="inlineStr">
        <is>
          <t>Einhell</t>
        </is>
      </c>
      <c r="B150" t="inlineStr">
        <is>
          <t>TC-SS 406 E</t>
        </is>
      </c>
      <c r="C150" t="inlineStr">
        <is>
          <t>table</t>
        </is>
      </c>
      <c r="E150" t="inlineStr">
        <is>
          <t>來源頁看不到刀片直徑</t>
        </is>
      </c>
      <c r="F150" t="inlineStr">
        <is>
          <t>https://www.mediamarkt.nl/nl/product/_einhell-tc-ss-406-e-tafelzaag-151861534.html</t>
        </is>
      </c>
      <c r="G150" t="inlineStr">
        <is>
          <t>NL</t>
        </is>
      </c>
    </row>
    <row r="151">
      <c r="A151" t="inlineStr">
        <is>
          <t>Einhell</t>
        </is>
      </c>
      <c r="B151" t="inlineStr">
        <is>
          <t>TC-TS 200</t>
        </is>
      </c>
      <c r="C151" t="inlineStr">
        <is>
          <t>table</t>
        </is>
      </c>
      <c r="D151" t="n">
        <v>210</v>
      </c>
      <c r="E151" t="inlineStr">
        <is>
          <t>刀片直徑不在 222～267 mm</t>
        </is>
      </c>
      <c r="F151" t="inlineStr">
        <is>
          <t>https://www.praxis.nl/gereedschap-werkplaats/elektrisch-gereedschap/zaagmachines/zaagtafels/einhell-tafelzaag-tc-ts-200-800w-gesnoerd/10027352</t>
        </is>
      </c>
      <c r="G151" t="inlineStr">
        <is>
          <t>NL</t>
        </is>
      </c>
    </row>
    <row r="152">
      <c r="A152" t="inlineStr">
        <is>
          <t>Einhell</t>
        </is>
      </c>
      <c r="B152" t="inlineStr">
        <is>
          <t>TC-TS 2025/3</t>
        </is>
      </c>
      <c r="C152" t="inlineStr">
        <is>
          <t>table</t>
        </is>
      </c>
      <c r="E152" t="inlineStr">
        <is>
          <t>來源頁看不到刀片直徑；交期 10 天以上（Consegna tra ven, 13/11 e sab, 21/11）</t>
        </is>
      </c>
      <c r="F152" t="inlineStr">
        <is>
          <t>https://www.galaxus.it/it/s4/product/einhell-tc-ts-20253-sega-circolare-da-tavolo-22720229</t>
        </is>
      </c>
      <c r="G152" t="inlineStr">
        <is>
          <t>IT</t>
        </is>
      </c>
    </row>
    <row r="153">
      <c r="A153" t="inlineStr">
        <is>
          <t>Einhell</t>
        </is>
      </c>
      <c r="B153" t="inlineStr">
        <is>
          <t>TC-TS 315 U</t>
        </is>
      </c>
      <c r="C153" t="inlineStr">
        <is>
          <t>table</t>
        </is>
      </c>
      <c r="D153" t="n">
        <v>315</v>
      </c>
      <c r="E153" t="inlineStr">
        <is>
          <t>刀片直徑不在 222～267 mm</t>
        </is>
      </c>
      <c r="F153" t="inlineStr">
        <is>
          <t>https://www.obi.at/p/8597882/einhell-tischkreissaege-tc-ts-315-u</t>
        </is>
      </c>
      <c r="G153" t="inlineStr">
        <is>
          <t>AT</t>
        </is>
      </c>
    </row>
    <row r="154">
      <c r="A154" t="inlineStr">
        <is>
          <t>Einhell</t>
        </is>
      </c>
      <c r="B154" t="inlineStr">
        <is>
          <t>TC-TS 8</t>
        </is>
      </c>
      <c r="C154" t="inlineStr">
        <is>
          <t>table</t>
        </is>
      </c>
      <c r="D154" t="n">
        <v>210</v>
      </c>
      <c r="E154" t="inlineStr">
        <is>
          <t>刀片直徑不在 222～267 mm</t>
        </is>
      </c>
      <c r="F154" t="inlineStr">
        <is>
          <t>https://www.obi.at/p/4077061/einhell-tischkreissaege-tc-ts-8</t>
        </is>
      </c>
      <c r="G154" t="inlineStr">
        <is>
          <t>AT</t>
        </is>
      </c>
    </row>
    <row r="155">
      <c r="A155" t="inlineStr">
        <is>
          <t>Einhell</t>
        </is>
      </c>
      <c r="B155" t="inlineStr">
        <is>
          <t>TC-TS 8 I</t>
        </is>
      </c>
      <c r="C155" t="inlineStr">
        <is>
          <t>table</t>
        </is>
      </c>
      <c r="D155" t="n">
        <v>200</v>
      </c>
      <c r="E155" t="inlineStr">
        <is>
          <t>刀片直徑不在 222～267 mm</t>
        </is>
      </c>
      <c r="F155" t="inlineStr">
        <is>
          <t>https://www.hornbach.de/p/tischkreissaege-einhell-tc-ts-8-i/12209803/</t>
        </is>
      </c>
      <c r="G155" t="inlineStr">
        <is>
          <t>DE</t>
        </is>
      </c>
    </row>
    <row r="156">
      <c r="A156" t="inlineStr">
        <is>
          <t>Einhell</t>
        </is>
      </c>
      <c r="B156" t="inlineStr">
        <is>
          <t>TE-MS 18/210</t>
        </is>
      </c>
      <c r="C156" t="inlineStr">
        <is>
          <t>compound</t>
        </is>
      </c>
      <c r="D156" t="n">
        <v>210</v>
      </c>
      <c r="E156" t="inlineStr">
        <is>
          <t>刀片直徑不在 222～267 mm</t>
        </is>
      </c>
      <c r="F156" t="inlineStr">
        <is>
          <t>https://www.toolstation.nl/einhell-te-ms-18210-accu-afkort-verstekzaagmachine-body/p85496</t>
        </is>
      </c>
      <c r="G156" t="inlineStr">
        <is>
          <t>NL</t>
        </is>
      </c>
    </row>
    <row r="157">
      <c r="A157" t="inlineStr">
        <is>
          <t>Einhell</t>
        </is>
      </c>
      <c r="B157" t="inlineStr">
        <is>
          <t>TE-MS 18/210 Li</t>
        </is>
      </c>
      <c r="C157" t="inlineStr">
        <is>
          <t>compound</t>
        </is>
      </c>
      <c r="D157" t="n">
        <v>210</v>
      </c>
      <c r="E157" t="inlineStr">
        <is>
          <t>刀片直徑不在 222～267 mm</t>
        </is>
      </c>
      <c r="F157" t="inlineStr">
        <is>
          <t>https://www.hornbach.at/p/akku-kappsaege-einhell-te-ms-18-210-li-18-v-ohne-akku-und-ohne-ladegeraet/4683619/</t>
        </is>
      </c>
      <c r="G157" t="inlineStr">
        <is>
          <t>AT</t>
        </is>
      </c>
    </row>
    <row r="158">
      <c r="A158" t="inlineStr">
        <is>
          <t>Einhell</t>
        </is>
      </c>
      <c r="B158" t="inlineStr">
        <is>
          <t>TE-MS 18/210 Li Solo</t>
        </is>
      </c>
      <c r="C158" t="inlineStr">
        <is>
          <t>compound</t>
        </is>
      </c>
      <c r="D158" t="n">
        <v>210</v>
      </c>
      <c r="E158" t="inlineStr">
        <is>
          <t>刀片直徑不在 222～267 mm</t>
        </is>
      </c>
      <c r="F158" t="inlineStr">
        <is>
          <t>https://www.obi.at/p/8176224/einhell-power-x-change-akku-kappsaege-te-ms-18-210-li-solo</t>
        </is>
      </c>
      <c r="G158" t="inlineStr">
        <is>
          <t>AT</t>
        </is>
      </c>
    </row>
    <row r="159">
      <c r="A159" t="inlineStr">
        <is>
          <t>Einhell</t>
        </is>
      </c>
      <c r="B159" t="inlineStr">
        <is>
          <t>TE-MS 216 T</t>
        </is>
      </c>
      <c r="C159" t="inlineStr">
        <is>
          <t>undetermined</t>
        </is>
      </c>
      <c r="D159" t="n">
        <v>216</v>
      </c>
      <c r="E159" t="inlineStr">
        <is>
          <t>刀片直徑不在 222～267 mm；產品線判不出（來源頁看不出有沒有滑軌）；複合機（翻轉鋸或上方附台的斜切鋸）不收</t>
        </is>
      </c>
      <c r="F159" t="inlineStr">
        <is>
          <t>https://www.praktiker.gr/p/einhell-te-ms-216-t-faltsopriono-diplis-kopis-1500w-164472</t>
        </is>
      </c>
      <c r="G159" t="inlineStr">
        <is>
          <t>GR</t>
        </is>
      </c>
    </row>
    <row r="160">
      <c r="A160" t="inlineStr">
        <is>
          <t>Einhell</t>
        </is>
      </c>
      <c r="B160" t="inlineStr">
        <is>
          <t>TE-MS 254 T</t>
        </is>
      </c>
      <c r="C160" t="inlineStr">
        <is>
          <t>compound</t>
        </is>
      </c>
      <c r="D160" t="n">
        <v>254</v>
      </c>
      <c r="E160" t="inlineStr">
        <is>
          <t>複合機（翻轉鋸或上方附台的斜切鋸）不收</t>
        </is>
      </c>
      <c r="F160" t="inlineStr">
        <is>
          <t>https://www.idefix.com/einhell-tablali-gonye-testere-te-ms-254-t-4300341-p-6185916</t>
        </is>
      </c>
      <c r="G160" t="inlineStr">
        <is>
          <t>TR</t>
        </is>
      </c>
    </row>
    <row r="161">
      <c r="A161" t="inlineStr">
        <is>
          <t>Einhell</t>
        </is>
      </c>
      <c r="B161" t="inlineStr">
        <is>
          <t>TE-SM 2131</t>
        </is>
      </c>
      <c r="C161" t="inlineStr">
        <is>
          <t>sliding</t>
        </is>
      </c>
      <c r="D161" t="n">
        <v>210</v>
      </c>
      <c r="E161" t="inlineStr">
        <is>
          <t>刀片直徑不在 222～267 mm</t>
        </is>
      </c>
      <c r="F161" t="inlineStr">
        <is>
          <t>https://www.hornbach.at/p/zug-kapp-gehrungssaege-einhell-te-sm-2131/5608563/</t>
        </is>
      </c>
      <c r="G161" t="inlineStr">
        <is>
          <t>AT</t>
        </is>
      </c>
    </row>
    <row r="162">
      <c r="A162" t="inlineStr">
        <is>
          <t>Einhell</t>
        </is>
      </c>
      <c r="B162" t="inlineStr">
        <is>
          <t>TE-SM 2131 Dual</t>
        </is>
      </c>
      <c r="C162" t="inlineStr">
        <is>
          <t>sliding</t>
        </is>
      </c>
      <c r="E162" t="inlineStr">
        <is>
          <t>來源頁看不到刀片直徑</t>
        </is>
      </c>
      <c r="F162" t="inlineStr">
        <is>
          <t>https://www.leroymerlin.it/prodotti/einhell-sega-circolare-scorrevole-per-cornici-te-sm-2131-dual-81965291.html</t>
        </is>
      </c>
      <c r="G162" t="inlineStr">
        <is>
          <t>IT</t>
        </is>
      </c>
    </row>
    <row r="163">
      <c r="A163" t="inlineStr">
        <is>
          <t>Einhell</t>
        </is>
      </c>
      <c r="B163" t="inlineStr">
        <is>
          <t>TE-SM 36/10 Li</t>
        </is>
      </c>
      <c r="C163" t="inlineStr">
        <is>
          <t>sliding</t>
        </is>
      </c>
      <c r="D163" t="n">
        <v>254</v>
      </c>
      <c r="E163" t="inlineStr">
        <is>
          <t>交期 10 天以上（FREE delivery Monday, 2 November）</t>
        </is>
      </c>
      <c r="F163" t="inlineStr">
        <is>
          <t>https://www.amazon.ie/Einhell-Cordless-Sliding-Without-Battery/dp/B0CKFPN7ZF/ref=sr_1_42?dib=eyJ2IjoiMSJ9.TulXaFmEdTnntGLeLdB9net3eIsTF598_5whrLCCTV1BAt27RXtsA_cScQAmxCzVnLgzk4kzCRALtyNRS81jU76CLwzQQM5Ib3s2JpMObE-IAikx3kEV808HEECUPkAG2IY9WH3yE4Zb83YGdiSoGxeJY3D8mLeZzbs3akLyCDMh4HDd4ojlRWpXVc9VKA3n8z_3hgwvaVp9OvxGXtQEq34mvdPUrnh1M999tPrTdPoUZjK3DBgDCsD9yNbxHVzInA_GHdPoqjfqb88lHlAvf9ggFizA3gZNEY3U0EaYI7s.MM8FmEOE3veNdpIXf8tjk9KWLsZ5VDIhIh5-iVwmWAg&amp;dib_tag=se&amp;keywords=mitre+saw&amp;qid=1792548246&amp;sr=8-42</t>
        </is>
      </c>
      <c r="G163" t="inlineStr">
        <is>
          <t>IE</t>
        </is>
      </c>
    </row>
    <row r="164">
      <c r="A164" t="inlineStr">
        <is>
          <t>Einhell</t>
        </is>
      </c>
      <c r="B164" t="inlineStr">
        <is>
          <t>TE-SM 36/10L</t>
        </is>
      </c>
      <c r="C164" t="inlineStr">
        <is>
          <t>compound</t>
        </is>
      </c>
      <c r="E164" t="inlineStr">
        <is>
          <t>來源頁看不到刀片直徑；交期 10 天以上（Zwischen Fr, 30.10. und Mi, 4.11. gelief）</t>
        </is>
      </c>
      <c r="F164" t="inlineStr">
        <is>
          <t>https://www.galaxus.ch/de/s4/product/einhell-te-sm-3610l-kappsaege-gehrungssaege-41210455</t>
        </is>
      </c>
      <c r="G164" t="inlineStr">
        <is>
          <t>CH</t>
        </is>
      </c>
    </row>
    <row r="165">
      <c r="A165" t="inlineStr">
        <is>
          <t>Einhell</t>
        </is>
      </c>
      <c r="B165" t="inlineStr">
        <is>
          <t>TE-SM 36/210 Li</t>
        </is>
      </c>
      <c r="C165" t="inlineStr">
        <is>
          <t>sliding</t>
        </is>
      </c>
      <c r="D165" t="n">
        <v>210</v>
      </c>
      <c r="E165" t="inlineStr">
        <is>
          <t>刀片直徑不在 222～267 mm</t>
        </is>
      </c>
      <c r="F165" t="inlineStr">
        <is>
          <t>https://www.hornbach.at/p/akku-zug-kapp-gehrungssaege-einhell-te-sm-36-210-li-ohne-akku-und-ohne-ladegeraet-ladegeraet/10245989/</t>
        </is>
      </c>
      <c r="G165" t="inlineStr">
        <is>
          <t>AT</t>
        </is>
      </c>
    </row>
    <row r="166">
      <c r="A166" t="inlineStr">
        <is>
          <t>Einhell</t>
        </is>
      </c>
      <c r="B166" t="inlineStr">
        <is>
          <t>TE-SM 36/210 Li - Solo</t>
        </is>
      </c>
      <c r="C166" t="inlineStr">
        <is>
          <t>sliding</t>
        </is>
      </c>
      <c r="D166" t="n">
        <v>210</v>
      </c>
      <c r="E166" t="inlineStr">
        <is>
          <t>刀片直徑不在 222～267 mm</t>
        </is>
      </c>
      <c r="F166" t="inlineStr">
        <is>
          <t>https://www.hornbach.de/p/akku-zug-kapp-gehrungssaege-einhell-te-sm-36-210-li-solo-ohne-akku-und-ladegeraet/10245989/</t>
        </is>
      </c>
      <c r="G166" t="inlineStr">
        <is>
          <t>DE</t>
        </is>
      </c>
    </row>
    <row r="167">
      <c r="A167" t="inlineStr">
        <is>
          <t>Einhell</t>
        </is>
      </c>
      <c r="B167" t="inlineStr">
        <is>
          <t>TE-SM 36/8 L Li-Solo</t>
        </is>
      </c>
      <c r="C167" t="inlineStr">
        <is>
          <t>sliding</t>
        </is>
      </c>
      <c r="D167" t="n">
        <v>216</v>
      </c>
      <c r="E167" t="inlineStr">
        <is>
          <t>刀片直徑不在 222～267 mm</t>
        </is>
      </c>
      <c r="F167" t="inlineStr">
        <is>
          <t>https://www.castorama.fr/mkp/einhell-scie-onglets-sans-fil-te-sm-36-8-l-li-solo/4006825671414_CAFR.prd</t>
        </is>
      </c>
      <c r="G167" t="inlineStr">
        <is>
          <t>FR</t>
        </is>
      </c>
    </row>
    <row r="168">
      <c r="A168" t="inlineStr">
        <is>
          <t>Einhell</t>
        </is>
      </c>
      <c r="B168" t="inlineStr">
        <is>
          <t>TE-SM 8 L Dual</t>
        </is>
      </c>
      <c r="C168" t="inlineStr">
        <is>
          <t>sliding</t>
        </is>
      </c>
      <c r="D168" t="n">
        <v>216</v>
      </c>
      <c r="E168" t="inlineStr">
        <is>
          <t>刀片直徑不在 222～267 mm</t>
        </is>
      </c>
      <c r="F168" t="inlineStr">
        <is>
          <t>https://www.obi.at/p/3406048/einhell-zug-kapp-gehrungssaege-te-sm-8-l-dual</t>
        </is>
      </c>
      <c r="G168" t="inlineStr">
        <is>
          <t>AT</t>
        </is>
      </c>
    </row>
    <row r="169">
      <c r="A169" t="inlineStr">
        <is>
          <t>Einhell</t>
        </is>
      </c>
      <c r="B169" t="inlineStr">
        <is>
          <t>TE-TS 10</t>
        </is>
      </c>
      <c r="C169" t="inlineStr">
        <is>
          <t>table</t>
        </is>
      </c>
      <c r="D169" t="n">
        <v>254</v>
      </c>
      <c r="E169" t="inlineStr">
        <is>
          <t>未含稅價</t>
        </is>
      </c>
      <c r="F169" t="inlineStr">
        <is>
          <t>https://www.cdiscount.com/bricolage/outillage/einhell-scie-circulaire-sur/f-166010106-aacap20604.html</t>
        </is>
      </c>
      <c r="G169" t="inlineStr">
        <is>
          <t>FR</t>
        </is>
      </c>
    </row>
    <row r="170">
      <c r="A170" t="inlineStr">
        <is>
          <t>Einhell</t>
        </is>
      </c>
      <c r="B170" t="inlineStr">
        <is>
          <t>TE-TS 36/210</t>
        </is>
      </c>
      <c r="C170" t="inlineStr">
        <is>
          <t>table</t>
        </is>
      </c>
      <c r="D170" t="n">
        <v>210</v>
      </c>
      <c r="E170" t="inlineStr">
        <is>
          <t>刀片直徑不在 222～267 mm</t>
        </is>
      </c>
      <c r="F170" t="inlineStr">
        <is>
          <t>https://www.hornbach.at/p/akku-tischkreissaege-einhell-2x18v-te-ts-36-210-ohne-akku-und-ohne-ladegeraet/10480938/</t>
        </is>
      </c>
      <c r="G170" t="inlineStr">
        <is>
          <t>AT</t>
        </is>
      </c>
    </row>
    <row r="171">
      <c r="A171" t="inlineStr">
        <is>
          <t>Einhell</t>
        </is>
      </c>
      <c r="B171" t="inlineStr">
        <is>
          <t>TE-TS 36/210 Li</t>
        </is>
      </c>
      <c r="C171" t="inlineStr">
        <is>
          <t>table</t>
        </is>
      </c>
      <c r="D171" t="n">
        <v>210</v>
      </c>
      <c r="E171" t="inlineStr">
        <is>
          <t>刀片直徑不在 222～267 mm</t>
        </is>
      </c>
      <c r="F171" t="inlineStr">
        <is>
          <t>https://www.castorama.fr/scie-circulaire-sur-table-sans-fil-einhell-te-ts-36-210-li-sans-batterie-/4006825647365_CAFR.prd</t>
        </is>
      </c>
      <c r="G171" t="inlineStr">
        <is>
          <t>FR</t>
        </is>
      </c>
    </row>
    <row r="172">
      <c r="A172" t="inlineStr">
        <is>
          <t>Einhell</t>
        </is>
      </c>
      <c r="B172" t="inlineStr">
        <is>
          <t>TE-TS 36/210 Li-Solo</t>
        </is>
      </c>
      <c r="C172" t="inlineStr">
        <is>
          <t>table</t>
        </is>
      </c>
      <c r="D172" t="n">
        <v>210</v>
      </c>
      <c r="E172" t="inlineStr">
        <is>
          <t>刀片直徑不在 222～267 mm</t>
        </is>
      </c>
      <c r="F172" t="inlineStr">
        <is>
          <t>https://www.pccomponentes.com/einhell-te-ts-36-210-li-solo-sierra-de-mesa-circular-18v</t>
        </is>
      </c>
      <c r="G172" t="inlineStr">
        <is>
          <t>ES</t>
        </is>
      </c>
    </row>
    <row r="173">
      <c r="A173" t="inlineStr">
        <is>
          <t>Einhell</t>
        </is>
      </c>
      <c r="B173" t="inlineStr">
        <is>
          <t>TE-TS 36/8 T</t>
        </is>
      </c>
      <c r="C173" t="inlineStr">
        <is>
          <t>table</t>
        </is>
      </c>
      <c r="D173" t="n">
        <v>210</v>
      </c>
      <c r="E173" t="inlineStr">
        <is>
          <t>刀片直徑不在 222～267 mm</t>
        </is>
      </c>
      <c r="F173" t="inlineStr">
        <is>
          <t>https://www.galaxus.be/fr/s4/product/einhell-te-ts-368-t-scie-circulaire-sur-table-65393071</t>
        </is>
      </c>
      <c r="G173" t="inlineStr">
        <is>
          <t>BE</t>
        </is>
      </c>
    </row>
    <row r="174">
      <c r="A174" t="inlineStr">
        <is>
          <t>Einhell</t>
        </is>
      </c>
      <c r="B174" t="inlineStr">
        <is>
          <t>TH-MS 2513 L</t>
        </is>
      </c>
      <c r="C174" t="inlineStr">
        <is>
          <t>sliding</t>
        </is>
      </c>
      <c r="D174" t="n">
        <v>250</v>
      </c>
      <c r="E174" t="inlineStr">
        <is>
          <t>交期 10 天以上（Livré à partir du 06/11/2026）</t>
        </is>
      </c>
      <c r="F174" t="inlineStr">
        <is>
          <t>https://www.laposte.fr/boutique/einhell-scie-a-onglet-radiale-1400w-th-ms-2513-l/p/mp-600182984</t>
        </is>
      </c>
      <c r="G174" t="inlineStr">
        <is>
          <t>FR</t>
        </is>
      </c>
    </row>
    <row r="175">
      <c r="A175" t="inlineStr">
        <is>
          <t>Einhell</t>
        </is>
      </c>
      <c r="B175" t="inlineStr">
        <is>
          <t>TP-CO 18/76-C Li BL - Solo</t>
        </is>
      </c>
      <c r="C175" t="inlineStr">
        <is>
          <t>undetermined</t>
        </is>
      </c>
      <c r="D175" t="n">
        <v>76</v>
      </c>
      <c r="E175" t="inlineStr">
        <is>
          <t>刀片直徑不在 222～267 mm；產品線判不出（來源頁看不出有沒有滑軌）</t>
        </is>
      </c>
      <c r="F175" t="inlineStr">
        <is>
          <t>https://mokivezi.lt/1097568-akumuliatorinis-mini-diskinis-pjuklas-einhell-tp-co-18-76-c-li-bl-solo-18-v-besepetelis-variklis-maks-disko-skersmuo-76-mm-be-akumuliatoriu-ir-kroviklio</t>
        </is>
      </c>
      <c r="G175" t="inlineStr">
        <is>
          <t>LT</t>
        </is>
      </c>
    </row>
    <row r="176">
      <c r="A176" t="inlineStr">
        <is>
          <t>Erbauer</t>
        </is>
      </c>
      <c r="B176" t="inlineStr"/>
      <c r="C176" t="inlineStr">
        <is>
          <t>table</t>
        </is>
      </c>
      <c r="D176" t="n">
        <v>254</v>
      </c>
      <c r="E176" t="inlineStr">
        <is>
          <t>來源頁看不到型號</t>
        </is>
      </c>
      <c r="F176" t="inlineStr">
        <is>
          <t>https://www.bricodepot.fr/p/3663602467618/scie-sur-table-1500w-254-mm</t>
        </is>
      </c>
      <c r="G176" t="inlineStr">
        <is>
          <t>FR</t>
        </is>
      </c>
    </row>
    <row r="177">
      <c r="A177" t="inlineStr">
        <is>
          <t>Erbauer</t>
        </is>
      </c>
      <c r="B177" t="inlineStr">
        <is>
          <t>EMIS216S18-Li</t>
        </is>
      </c>
      <c r="C177" t="inlineStr">
        <is>
          <t>compound</t>
        </is>
      </c>
      <c r="D177" t="n">
        <v>216</v>
      </c>
      <c r="E177" t="inlineStr">
        <is>
          <t>刀片直徑不在 222～267 mm</t>
        </is>
      </c>
      <c r="F177" t="inlineStr">
        <is>
          <t>https://www.castorama.fr/scie-a-onglet-erbauer-sans-fil-emis216s18-li-18v-brushless-sans-batterie-/3663602476603_CAFR.prd</t>
        </is>
      </c>
      <c r="G177" t="inlineStr">
        <is>
          <t>FR</t>
        </is>
      </c>
    </row>
    <row r="178">
      <c r="A178" t="inlineStr">
        <is>
          <t>Erbauer</t>
        </is>
      </c>
      <c r="B178" t="inlineStr">
        <is>
          <t>EMIS254C</t>
        </is>
      </c>
      <c r="C178" t="inlineStr">
        <is>
          <t>compound</t>
        </is>
      </c>
      <c r="D178" t="n">
        <v>254</v>
      </c>
      <c r="E178" t="inlineStr">
        <is>
          <t>找不到經目視確認、對應這台機器的商品圖：Castorama 主圖是保固標章，不是機台圖；下一輪補圖（2026-10-21 v14 目視）</t>
        </is>
      </c>
      <c r="F178" t="inlineStr">
        <is>
          <t>https://www.castorama.fr/scie-a-onglet-erbauer-emis254c-254-mm/3663602797203_CAFR.prd</t>
        </is>
      </c>
      <c r="G178" t="inlineStr">
        <is>
          <t>FR</t>
        </is>
      </c>
    </row>
    <row r="179">
      <c r="A179" t="inlineStr">
        <is>
          <t>Erbauer</t>
        </is>
      </c>
      <c r="B179" t="inlineStr">
        <is>
          <t>MMIS210-A</t>
        </is>
      </c>
      <c r="C179" t="inlineStr">
        <is>
          <t>sliding</t>
        </is>
      </c>
      <c r="D179" t="n">
        <v>254</v>
      </c>
      <c r="E179" t="inlineStr">
        <is>
          <t>spec 排除：Castorama 規格欄刀徑 254 mm 與型號 210 不一致、主圖與 ERB1074MSW 相同，疑似賣場欄位誤植；未能以原文確認是 10 吋（2026-10-21 品質原則）</t>
        </is>
      </c>
      <c r="F179" t="inlineStr">
        <is>
          <t>https://www.castorama.fr/scie-a-onglet-erbauer-mmis210-a-1800w-254mm/5063022525994_CAFR.prd</t>
        </is>
      </c>
      <c r="G179" t="inlineStr">
        <is>
          <t>FR</t>
        </is>
      </c>
    </row>
    <row r="180">
      <c r="A180" t="inlineStr">
        <is>
          <t>Evolution</t>
        </is>
      </c>
      <c r="B180" t="inlineStr">
        <is>
          <t>046-0001A</t>
        </is>
      </c>
      <c r="C180" t="inlineStr">
        <is>
          <t>compound</t>
        </is>
      </c>
      <c r="D180" t="n">
        <v>210</v>
      </c>
      <c r="E180" t="inlineStr">
        <is>
          <t>刀片直徑不在 222～267 mm</t>
        </is>
      </c>
      <c r="F180" t="inlineStr">
        <is>
          <t>https://www.diy.com/departments/evolution-046-0001a-r210cms-multi-purpose-compound-mitre-saw-1200w-240v-evlr210cms/0849713071972_BQ.prd</t>
        </is>
      </c>
      <c r="G180" t="inlineStr">
        <is>
          <t>GB</t>
        </is>
      </c>
    </row>
    <row r="181">
      <c r="A181" t="inlineStr">
        <is>
          <t>Evolution</t>
        </is>
      </c>
      <c r="B181" t="inlineStr">
        <is>
          <t>046-0002A</t>
        </is>
      </c>
      <c r="C181" t="inlineStr">
        <is>
          <t>compound</t>
        </is>
      </c>
      <c r="D181" t="n">
        <v>210</v>
      </c>
      <c r="E181" t="inlineStr">
        <is>
          <t>刀片直徑不在 222～267 mm</t>
        </is>
      </c>
      <c r="F181" t="inlineStr">
        <is>
          <t>https://www.diy.com/departments/evolution-046-0002a-r210cms-multi-purpose-compound-mitre-saw-1200w-110v-evlr210cmsl/0849713069238_BQ.prd</t>
        </is>
      </c>
      <c r="G181" t="inlineStr">
        <is>
          <t>GB</t>
        </is>
      </c>
    </row>
    <row r="182">
      <c r="A182" t="inlineStr">
        <is>
          <t>Evolution</t>
        </is>
      </c>
      <c r="B182" t="inlineStr">
        <is>
          <t>EVO-R255TBL</t>
        </is>
      </c>
      <c r="C182" t="inlineStr">
        <is>
          <t>table</t>
        </is>
      </c>
      <c r="E182" t="inlineStr">
        <is>
          <t>來源頁看不到刀片直徑；交期 10 天以上（Zwischen Sa, 7.11. und Sa, 21.11. gelief）</t>
        </is>
      </c>
      <c r="F182" t="inlineStr">
        <is>
          <t>https://www.galaxus.ch/de/s4/product/evolution-tischkreissaege-evo-r255tbl-tischkreissaege-59262616</t>
        </is>
      </c>
      <c r="G182" t="inlineStr">
        <is>
          <t>CH</t>
        </is>
      </c>
    </row>
    <row r="183">
      <c r="A183" t="inlineStr">
        <is>
          <t>Evolution</t>
        </is>
      </c>
      <c r="B183" t="inlineStr">
        <is>
          <t>EVO-R255TBLX</t>
        </is>
      </c>
      <c r="C183" t="inlineStr">
        <is>
          <t>table</t>
        </is>
      </c>
      <c r="E183" t="inlineStr">
        <is>
          <t>來源頁看不到刀片直徑；交期 10 天以上（Livré entre ven, 13/11 et sam, 21/11）</t>
        </is>
      </c>
      <c r="F183" t="inlineStr">
        <is>
          <t>https://www.galaxus.be/fr/s4/product/evolution-tischkreissaege-evo-r255tblx-scie-circulaire-sur-table-59252636</t>
        </is>
      </c>
      <c r="G183" t="inlineStr">
        <is>
          <t>BE</t>
        </is>
      </c>
    </row>
    <row r="184">
      <c r="A184" t="inlineStr">
        <is>
          <t>Evolution</t>
        </is>
      </c>
      <c r="B184" t="inlineStr">
        <is>
          <t>F210CMS</t>
        </is>
      </c>
      <c r="C184" t="inlineStr">
        <is>
          <t>undetermined</t>
        </is>
      </c>
      <c r="D184" t="n">
        <v>210</v>
      </c>
      <c r="E184" t="inlineStr">
        <is>
          <t>刀片直徑不在 222～267 mm；產品線判不出（來源頁看不出有沒有滑軌）</t>
        </is>
      </c>
      <c r="F184" t="inlineStr">
        <is>
          <t>https://www.praxis.nl/gereedschap-werkplaats/elektrisch-gereedschap/zaagmachines/afkortzagen/evolution-afkortzaag-f210cms-1200w-gesnoerd/5674262</t>
        </is>
      </c>
      <c r="G184" t="inlineStr">
        <is>
          <t>NL</t>
        </is>
      </c>
    </row>
    <row r="185">
      <c r="A185" t="inlineStr">
        <is>
          <t>Evolution</t>
        </is>
      </c>
      <c r="B185" t="inlineStr">
        <is>
          <t>F210MSS</t>
        </is>
      </c>
      <c r="C185" t="inlineStr">
        <is>
          <t>compound</t>
        </is>
      </c>
      <c r="D185" t="n">
        <v>210</v>
      </c>
      <c r="E185" t="inlineStr">
        <is>
          <t>刀片直徑不在 222～267 mm</t>
        </is>
      </c>
      <c r="F185" t="inlineStr">
        <is>
          <t>https://www.praxis.nl/gereedschap-werkplaats/elektrisch-gereedschap/zaagmachines/afkortzagen/evolution-afkortzaag-f210mss-1200w-gesnoerd-met-lasergeleider/5674263</t>
        </is>
      </c>
      <c r="G185" t="inlineStr">
        <is>
          <t>NL</t>
        </is>
      </c>
    </row>
    <row r="186">
      <c r="A186" t="inlineStr">
        <is>
          <t>Evolution</t>
        </is>
      </c>
      <c r="B186" t="inlineStr">
        <is>
          <t>FURY3-XL</t>
        </is>
      </c>
      <c r="C186" t="inlineStr">
        <is>
          <t>sliding</t>
        </is>
      </c>
      <c r="D186" t="n">
        <v>255</v>
      </c>
      <c r="E186" t="inlineStr">
        <is>
          <t>沒有可用的含稅售價</t>
        </is>
      </c>
      <c r="F186" t="inlineStr">
        <is>
          <t>https://www.amazon.de/Evolution-Kapp-Gehrungss-FURY-3XL-wattsW/dp/B00HXHXGGS</t>
        </is>
      </c>
      <c r="G186" t="inlineStr">
        <is>
          <t>DE</t>
        </is>
      </c>
    </row>
    <row r="187">
      <c r="A187" t="inlineStr">
        <is>
          <t>Evolution</t>
        </is>
      </c>
      <c r="B187" t="inlineStr">
        <is>
          <t>R185CMS-Li</t>
        </is>
      </c>
      <c r="C187" t="inlineStr">
        <is>
          <t>compound</t>
        </is>
      </c>
      <c r="D187" t="n">
        <v>185</v>
      </c>
      <c r="E187" t="inlineStr">
        <is>
          <t>刀片直徑不在 222～267 mm</t>
        </is>
      </c>
      <c r="F187" t="inlineStr">
        <is>
          <t>https://www.praxis.nl/gereedschap-werkplaats/elektrisch-gereedschap/zaagmachines/afkortzagen/evolution-afkortzaag-r185cms-li-18v-accu-met-led-verlichting/10097622</t>
        </is>
      </c>
      <c r="G187" t="inlineStr">
        <is>
          <t>NL</t>
        </is>
      </c>
    </row>
    <row r="188">
      <c r="A188" t="inlineStr">
        <is>
          <t>Evolution</t>
        </is>
      </c>
      <c r="B188" t="inlineStr">
        <is>
          <t>R185SMS+</t>
        </is>
      </c>
      <c r="C188" t="inlineStr">
        <is>
          <t>sliding</t>
        </is>
      </c>
      <c r="D188" t="n">
        <v>185</v>
      </c>
      <c r="E188" t="inlineStr">
        <is>
          <t>刀片直徑不在 222～267 mm；交期 10 天以上（FREE delivery Monday, 2 November）</t>
        </is>
      </c>
      <c r="F188" t="inlineStr">
        <is>
          <t>https://www.amazon.ie/Evolution-047-0003A-R185SMS-Mitre-Universal/dp/B08ZSV6MSB/ref=sr_1_48?dib=eyJ2IjoiMSJ9.TulXaFmEdTnntGLeLdB9net3eIsTF598_5whrLCCTV1BAt27RXtsA_cScQAmxCzVnLgzk4kzCRALtyNRS81jU76CLwzQQM5Ib3s2JpMObE-IAikx3kEV808HEECUPkAG2IY9WH3yE4Zb83YGdiSoGxeJY3D8mLeZzbs3akLyCDMh4HDd4ojlRWpXVc9VKA3n8z_3hgwvaVp9OvxGXtQEq34mvdPUrnh1M999tPrTdPoUZjK3DBgDCsD9yNbxHVzInA_GHdPoqjfqb88lHlAvf9ggFizA3gZNEY3U0EaYI7s.MM8FmEOE3veNdpIXf8tjk9KWLsZ5VDIhIh5-iVwmWAg&amp;dib_tag=se&amp;keywords=mitre+saw&amp;qid=1792548246&amp;sr=8-48</t>
        </is>
      </c>
      <c r="G188" t="inlineStr">
        <is>
          <t>IE</t>
        </is>
      </c>
    </row>
    <row r="189">
      <c r="A189" t="inlineStr">
        <is>
          <t>Evolution</t>
        </is>
      </c>
      <c r="B189" t="inlineStr">
        <is>
          <t>R185SMS-Li</t>
        </is>
      </c>
      <c r="C189" t="inlineStr">
        <is>
          <t>sliding</t>
        </is>
      </c>
      <c r="D189" t="n">
        <v>185</v>
      </c>
      <c r="E189" t="inlineStr">
        <is>
          <t>刀片直徑不在 222～267 mm</t>
        </is>
      </c>
      <c r="F189" t="inlineStr">
        <is>
          <t>https://www.cdiscount.com/bricolage/outillage/evolution-scie-a-onglet-radiale-cordless-r185sms-l/f-166010106-auc0849713042767.html?idOffre=1912375466&amp;sw=e88d8dce68cac0ee7beaa3e83236c8f07eee7c603d294a3aa35e3f1e5093ae911217bf37d9ebfbcf013a6f037c50b845e991ca73aae6063b87ebd9a7e240507f627ffbc84b84eeab88c6e0a30e685acddef128b8b145717a36e0d1de1b04197fd0006f86c43ef1edb9dcbb8707194dce6a36bf34ee8f667638f0a957636c9b7965687da170ece6c6b80a2631c71c5101</t>
        </is>
      </c>
      <c r="G189" t="inlineStr">
        <is>
          <t>FR</t>
        </is>
      </c>
    </row>
    <row r="190">
      <c r="A190" t="inlineStr">
        <is>
          <t>Evolution</t>
        </is>
      </c>
      <c r="B190" t="inlineStr">
        <is>
          <t>R185SMS-Li EXT</t>
        </is>
      </c>
      <c r="C190" t="inlineStr">
        <is>
          <t>sliding</t>
        </is>
      </c>
      <c r="D190" t="n">
        <v>185</v>
      </c>
      <c r="E190" t="inlineStr">
        <is>
          <t>刀片直徑不在 222～267 mm</t>
        </is>
      </c>
      <c r="F190" t="inlineStr">
        <is>
          <t>https://www.diy.com/departments/evolution-r185sms-li-ext-sliding-mitre-saw-18v-1-x-4-0ah-li-ion/0849713042774_BQ.prd</t>
        </is>
      </c>
      <c r="G190" t="inlineStr">
        <is>
          <t>GB</t>
        </is>
      </c>
    </row>
    <row r="191">
      <c r="A191" t="inlineStr">
        <is>
          <t>Evolution</t>
        </is>
      </c>
      <c r="B191" t="inlineStr">
        <is>
          <t>R210SMS+</t>
        </is>
      </c>
      <c r="C191" t="inlineStr">
        <is>
          <t>sliding</t>
        </is>
      </c>
      <c r="E191" t="inlineStr">
        <is>
          <t>來源頁看不到刀片直徑</t>
        </is>
      </c>
      <c r="F191" t="inlineStr">
        <is>
          <t>https://www.praxis.nl/gereedschap-werkplaats/elektrisch-gereedschap/zaagmachines/afkortzagen/evolution-radiale-verstekzaag-r210sms-tct-zaagblad-lasergeleider-0-45-schuine-sneden/10637132</t>
        </is>
      </c>
      <c r="G191" t="inlineStr">
        <is>
          <t>NL</t>
        </is>
      </c>
    </row>
    <row r="192">
      <c r="A192" t="inlineStr">
        <is>
          <t>Evolution</t>
        </is>
      </c>
      <c r="B192" t="inlineStr">
        <is>
          <t>R355CPS</t>
        </is>
      </c>
      <c r="C192" t="inlineStr">
        <is>
          <t>sliding</t>
        </is>
      </c>
      <c r="D192" t="n">
        <v>355</v>
      </c>
      <c r="E192" t="inlineStr">
        <is>
          <t>刀片直徑不在 222～267 mm</t>
        </is>
      </c>
      <c r="F192" t="inlineStr">
        <is>
          <t>https://evolutionpowertools.it/products/troncatrice-a-trazione-355mm-evolution-r355cps-con-lama-multi-materiale-tct?_pos=6&amp;_sid=c6aea2435&amp;_ss=r</t>
        </is>
      </c>
      <c r="G192" t="inlineStr">
        <is>
          <t>IT</t>
        </is>
      </c>
    </row>
    <row r="193">
      <c r="A193" t="inlineStr">
        <is>
          <t>Evolution</t>
        </is>
      </c>
      <c r="B193" t="inlineStr">
        <is>
          <t>Rage 5-S</t>
        </is>
      </c>
      <c r="C193" t="inlineStr">
        <is>
          <t>table</t>
        </is>
      </c>
      <c r="E193" t="inlineStr">
        <is>
          <t>來源頁看不到刀片直徑</t>
        </is>
      </c>
      <c r="F193" t="inlineStr">
        <is>
          <t>https://www.leroymerlin.it/prodotti/evolution-sega-da-banco-rage-5-s-mod-evo-rage5s-ean-0849713066985-trasporto-gratis-71336006.html</t>
        </is>
      </c>
      <c r="G193" t="inlineStr">
        <is>
          <t>IT</t>
        </is>
      </c>
    </row>
    <row r="194">
      <c r="A194" t="inlineStr">
        <is>
          <t>Evolution</t>
        </is>
      </c>
      <c r="B194" t="inlineStr">
        <is>
          <t>S355MCS</t>
        </is>
      </c>
      <c r="C194" t="inlineStr">
        <is>
          <t>sliding</t>
        </is>
      </c>
      <c r="D194" t="n">
        <v>355</v>
      </c>
      <c r="E194" t="inlineStr">
        <is>
          <t>刀片直徑不在 222～267 mm</t>
        </is>
      </c>
      <c r="F194" t="inlineStr">
        <is>
          <t>https://www.leroymerlin.it/prodotti/evolution-s355mcs-sega-troncatrice-2-200-w-lama-hm-355-mm-per-acciaio-46-mitra-3-serraggi-93533747.html</t>
        </is>
      </c>
      <c r="G194" t="inlineStr">
        <is>
          <t>IT</t>
        </is>
      </c>
    </row>
    <row r="195">
      <c r="A195" t="inlineStr">
        <is>
          <t>Excel</t>
        </is>
      </c>
      <c r="B195" t="inlineStr"/>
      <c r="C195" t="inlineStr">
        <is>
          <t>table</t>
        </is>
      </c>
      <c r="D195" t="n">
        <v>254</v>
      </c>
      <c r="E195" t="inlineStr">
        <is>
          <t>來源頁看不到型號</t>
        </is>
      </c>
      <c r="F195" t="inlineStr">
        <is>
          <t>https://www.amazon.ie/Excel-255mm-Extendable-Table-2700W/dp/B0FVFD1VMF/ref=sr_1_7?dib=eyJ2IjoiMSJ9.xscnU1bpAzj-twxiMd1XR6YNSl-XpqH0XQE7RKWk61SuYwULZEE5ijURgHQijFg-mZopG85WPivdEXVm_x0L-32Mvbp03a7IzTNGJO7o-kfD41AYLW_nBgZaTp6aI8iGAHaOzV1g5TgT8qmkdp5U_RUc64SGZ8QqJNlo1xRlc45nP6lNd5ixNXqIiAQbeUVAQVHZHL8l5ksf9lDVepobIHRhW_SWYbLmBMqtS2m3layDn4PrhUr4pctvKMdFOyx8thWxQ1iYMwB7XCBsa3vOrmwGvjXH3hDck0hw8dTx7mA.NM_aweXK58eUegPdv9CDEfZgFSQmYv73SWD1p_rkHe0&amp;dib_tag=se&amp;keywords=table+saw&amp;qid=1792548246&amp;sr=8-7</t>
        </is>
      </c>
      <c r="G195" t="inlineStr">
        <is>
          <t>IE</t>
        </is>
      </c>
    </row>
    <row r="196">
      <c r="A196" t="inlineStr">
        <is>
          <t>Excel</t>
        </is>
      </c>
      <c r="B196" t="inlineStr"/>
      <c r="C196" t="inlineStr">
        <is>
          <t>table</t>
        </is>
      </c>
      <c r="D196" t="n">
        <v>254</v>
      </c>
      <c r="E196" t="inlineStr">
        <is>
          <t>來源頁看不到型號</t>
        </is>
      </c>
      <c r="F196" t="inlineStr">
        <is>
          <t>https://www.diy.com/departments/excel-254mm-table-saw-1800w-240v-with-extendable-work-table-mitre-gauge-for-wood-cutting/5056533455850_BQ.prd</t>
        </is>
      </c>
      <c r="G196" t="inlineStr">
        <is>
          <t>GB</t>
        </is>
      </c>
    </row>
    <row r="197">
      <c r="A197" t="inlineStr">
        <is>
          <t>Excel</t>
        </is>
      </c>
      <c r="B197" t="inlineStr">
        <is>
          <t>1012</t>
        </is>
      </c>
      <c r="C197" t="inlineStr">
        <is>
          <t>sliding</t>
        </is>
      </c>
      <c r="D197" t="n">
        <v>255</v>
      </c>
      <c r="E197" t="inlineStr">
        <is>
          <t>套裝價（含其他物品），不算機台價（10-19 表單）</t>
        </is>
      </c>
      <c r="F197" t="inlineStr">
        <is>
          <t>https://www.diy.com/departments/excel-10-255mm-sliding-mitre-saw-double-bevel-2000w-240v-with-laser-universal-wheel-stand/8906763555417_BQ.prd</t>
        </is>
      </c>
      <c r="G197" t="inlineStr">
        <is>
          <t>GB</t>
        </is>
      </c>
    </row>
    <row r="198">
      <c r="A198" t="inlineStr">
        <is>
          <t>Excel</t>
        </is>
      </c>
      <c r="B198" t="inlineStr">
        <is>
          <t>11734 + 11519</t>
        </is>
      </c>
      <c r="C198" t="inlineStr">
        <is>
          <t>sliding</t>
        </is>
      </c>
      <c r="D198" t="n">
        <v>255</v>
      </c>
      <c r="E198" t="inlineStr">
        <is>
          <t>套裝價（含其他物品），不算機台價（10-19 表單）</t>
        </is>
      </c>
      <c r="F198" t="inlineStr">
        <is>
          <t>https://www.diy.com/departments/excel-sliding-mitre-saw-double-bevel-255mm-240v-2000w-laser-with-universal-stand/8906817410723_BQ.prd</t>
        </is>
      </c>
      <c r="G198" t="inlineStr">
        <is>
          <t>GB</t>
        </is>
      </c>
    </row>
    <row r="199">
      <c r="A199" t="inlineStr">
        <is>
          <t>Fartools</t>
        </is>
      </c>
      <c r="B199" t="inlineStr"/>
      <c r="C199" t="inlineStr">
        <is>
          <t>sliding</t>
        </is>
      </c>
      <c r="D199" t="n">
        <v>254</v>
      </c>
      <c r="E199" t="inlineStr">
        <is>
          <t>來源頁看不到型號</t>
        </is>
      </c>
      <c r="F199" t="inlineStr">
        <is>
          <t>https://www.bricozor.com/p-74773-scie-a-onglet-radiale-2000w-o254mm-multi-materiaux-fartools.html</t>
        </is>
      </c>
      <c r="G199" t="inlineStr">
        <is>
          <t>FR</t>
        </is>
      </c>
    </row>
    <row r="200">
      <c r="A200" t="inlineStr">
        <is>
          <t>Fartools</t>
        </is>
      </c>
      <c r="B200" t="inlineStr"/>
      <c r="C200" t="inlineStr">
        <is>
          <t>table</t>
        </is>
      </c>
      <c r="D200" t="n">
        <v>250</v>
      </c>
      <c r="E200" t="inlineStr">
        <is>
          <t>來源頁看不到型號</t>
        </is>
      </c>
      <c r="F200" t="inlineStr">
        <is>
          <t>https://www.castorama.fr/mkp/scie-de-table-1600w-250mm-2-extensions-lat-rales/3431541133853_CAFR.prd</t>
        </is>
      </c>
      <c r="G200" t="inlineStr">
        <is>
          <t>FR</t>
        </is>
      </c>
    </row>
    <row r="201">
      <c r="A201" t="inlineStr">
        <is>
          <t>Fartools</t>
        </is>
      </c>
      <c r="B201" t="inlineStr">
        <is>
          <t>FS 210</t>
        </is>
      </c>
      <c r="C201" t="inlineStr">
        <is>
          <t>undetermined</t>
        </is>
      </c>
      <c r="D201" t="n">
        <v>210</v>
      </c>
      <c r="E201" t="inlineStr">
        <is>
          <t>刀片直徑不在 222～267 mm；產品線判不出（來源頁看不出有沒有滑軌）；複合機（翻轉鋸或上方附台的斜切鋸）不收</t>
        </is>
      </c>
      <c r="F201" t="inlineStr">
        <is>
          <t>https://www.castorama.fr/scie-de-table-reversible-fs-210-2-en-1-fartools/3431541133556_CAFR.prd</t>
        </is>
      </c>
      <c r="G201" t="inlineStr">
        <is>
          <t>FR</t>
        </is>
      </c>
    </row>
    <row r="202">
      <c r="A202" t="inlineStr">
        <is>
          <t>Fartools</t>
        </is>
      </c>
      <c r="B202" t="inlineStr">
        <is>
          <t>MJ 4D</t>
        </is>
      </c>
      <c r="C202" t="inlineStr">
        <is>
          <t>table</t>
        </is>
      </c>
      <c r="D202" t="n">
        <v>250</v>
      </c>
      <c r="E202" t="inlineStr">
        <is>
          <t>交期 10 天以上（Entre le 03/11/2026 et le 05/11/2026）</t>
        </is>
      </c>
      <c r="F202" t="inlineStr">
        <is>
          <t>https://www.bricozor.com/mj-4d-scie-table-puissance-1600-diametre-250-nombre-dents-24-alesage-30-capacite-coupe-maxi-85-fartools.html</t>
        </is>
      </c>
      <c r="G202" t="inlineStr">
        <is>
          <t>FR</t>
        </is>
      </c>
    </row>
    <row r="203">
      <c r="A203" t="inlineStr">
        <is>
          <t>Fartools</t>
        </is>
      </c>
      <c r="B203" t="inlineStr">
        <is>
          <t>ONE JOS255C</t>
        </is>
      </c>
      <c r="C203" t="inlineStr">
        <is>
          <t>undetermined</t>
        </is>
      </c>
      <c r="E203" t="inlineStr">
        <is>
          <t>來源頁看不到刀片直徑；產品線判不出（來源頁看不出有沒有滑軌）</t>
        </is>
      </c>
      <c r="F203" t="inlineStr">
        <is>
          <t>https://www.castorama.fr/mkp/scie-onglet-radiale-2000w-255mm-vis-e-laser/3431541133983_CAFR.prd</t>
        </is>
      </c>
      <c r="G203" t="inlineStr">
        <is>
          <t>FR</t>
        </is>
      </c>
    </row>
    <row r="204">
      <c r="A204" t="inlineStr">
        <is>
          <t>Fartools</t>
        </is>
      </c>
      <c r="B204" t="inlineStr">
        <is>
          <t>TS 600C</t>
        </is>
      </c>
      <c r="C204" t="inlineStr">
        <is>
          <t>table</t>
        </is>
      </c>
      <c r="D204" t="n">
        <v>200</v>
      </c>
      <c r="E204" t="inlineStr">
        <is>
          <t>刀片直徑不在 222～267 mm</t>
        </is>
      </c>
      <c r="F204" t="inlineStr">
        <is>
          <t>https://www.castorama.fr/mkp/scie-de-table-600w-ts-600c-500x337mm-fartools-one-113365/3431541133655_CAFR.prd</t>
        </is>
      </c>
      <c r="G204" t="inlineStr">
        <is>
          <t>FR</t>
        </is>
      </c>
    </row>
    <row r="205">
      <c r="A205" t="inlineStr">
        <is>
          <t>Fein</t>
        </is>
      </c>
      <c r="B205" t="inlineStr">
        <is>
          <t>MKAS 355</t>
        </is>
      </c>
      <c r="C205" t="inlineStr">
        <is>
          <t>undetermined</t>
        </is>
      </c>
      <c r="E205" t="inlineStr">
        <is>
          <t>來源頁看不到刀片直徑；產品線判不出（來源頁看不出有沒有滑軌）</t>
        </is>
      </c>
      <c r="F205" t="inlineStr">
        <is>
          <t>https://www.galaxus.nl/nl/s4/product/fein-metaal-afkortzaag-mkas-355-radiale-snijders-36007315</t>
        </is>
      </c>
      <c r="G205" t="inlineStr">
        <is>
          <t>NL</t>
        </is>
      </c>
    </row>
    <row r="206">
      <c r="A206" t="inlineStr">
        <is>
          <t>Femi</t>
        </is>
      </c>
      <c r="B206" t="inlineStr">
        <is>
          <t>350 PRO</t>
        </is>
      </c>
      <c r="C206" t="inlineStr">
        <is>
          <t>sliding</t>
        </is>
      </c>
      <c r="D206" t="n">
        <v>305</v>
      </c>
      <c r="E206" t="inlineStr">
        <is>
          <t>刀片直徑不在 222～267 mm</t>
        </is>
      </c>
      <c r="F206" t="inlineStr">
        <is>
          <t>https://www.hornbach.de/p/gehrungssaege-femi-350-pro/10107047/</t>
        </is>
      </c>
      <c r="G206" t="inlineStr">
        <is>
          <t>DE</t>
        </is>
      </c>
    </row>
    <row r="207">
      <c r="A207" t="inlineStr">
        <is>
          <t>Femi</t>
        </is>
      </c>
      <c r="B207" t="inlineStr">
        <is>
          <t>733</t>
        </is>
      </c>
      <c r="C207" t="inlineStr">
        <is>
          <t>compound</t>
        </is>
      </c>
      <c r="E207" t="inlineStr">
        <is>
          <t>來源頁看不到刀片直徑；複合機（翻轉鋸或上方附台的斜切鋸）不收</t>
        </is>
      </c>
      <c r="F207" t="inlineStr">
        <is>
          <t>https://www.galaxus.nl/nl/s4/product/femi-733-afkortzaagverstekzaagmachine-met-boventafel-1300w-230v-radiale-snijders-37965212</t>
        </is>
      </c>
      <c r="G207" t="inlineStr">
        <is>
          <t>NL</t>
        </is>
      </c>
    </row>
    <row r="208">
      <c r="A208" t="inlineStr">
        <is>
          <t>Femi</t>
        </is>
      </c>
      <c r="B208" t="inlineStr">
        <is>
          <t>8.42.00.23</t>
        </is>
      </c>
      <c r="C208" t="inlineStr">
        <is>
          <t>compound</t>
        </is>
      </c>
      <c r="D208" t="n">
        <v>254</v>
      </c>
      <c r="E208" t="inlineStr">
        <is>
          <t>複合機（翻轉鋸或上方附台的斜切鋸）不收；交期 10 天以上（Chez vous dès vendredi 4 décembre）</t>
        </is>
      </c>
      <c r="F208" t="inlineStr">
        <is>
          <t>https://www.cdiscount.com/bricolage/outillage/scie-femi-8-42-00-23/f-166010106-fem8025191802150.html</t>
        </is>
      </c>
      <c r="G208" t="inlineStr">
        <is>
          <t>FR</t>
        </is>
      </c>
    </row>
    <row r="209">
      <c r="A209" t="inlineStr">
        <is>
          <t>Femi</t>
        </is>
      </c>
      <c r="B209" t="inlineStr">
        <is>
          <t>8420026</t>
        </is>
      </c>
      <c r="C209" t="inlineStr">
        <is>
          <t>compound</t>
        </is>
      </c>
      <c r="D209" t="n">
        <v>254</v>
      </c>
      <c r="E209" t="inlineStr">
        <is>
          <t>交期 10 天以上（Chez vous dès vendredi 4 décembre）</t>
        </is>
      </c>
      <c r="F209" t="inlineStr">
        <is>
          <t>https://www.cdiscount.com/bricolage/outillage/scie-a-onglet-femi-8420026/f-166010106-fem8025191802419.html</t>
        </is>
      </c>
      <c r="G209" t="inlineStr">
        <is>
          <t>FR</t>
        </is>
      </c>
    </row>
    <row r="210">
      <c r="A210" t="inlineStr">
        <is>
          <t>Femi</t>
        </is>
      </c>
      <c r="B210" t="inlineStr">
        <is>
          <t>FM-TR1025A</t>
        </is>
      </c>
      <c r="C210" t="inlineStr">
        <is>
          <t>sliding</t>
        </is>
      </c>
      <c r="D210" t="n">
        <v>254</v>
      </c>
      <c r="E210" t="inlineStr">
        <is>
          <t>找不到經目視確認、對應這台機器的商品圖：El Corte Inglés 存檔沒有可用的商品圖網址；下一輪補圖（2026-10-21）</t>
        </is>
      </c>
      <c r="F210" t="inlineStr">
        <is>
          <t>https://www.elcorteingles.es/bricor/A50110833-ingletadora-telescopica-254-mm-2000-w-fm-tr1025a/</t>
        </is>
      </c>
      <c r="G210" t="inlineStr">
        <is>
          <t>ES</t>
        </is>
      </c>
    </row>
    <row r="211">
      <c r="A211" t="inlineStr">
        <is>
          <t>Femi</t>
        </is>
      </c>
      <c r="B211" t="inlineStr">
        <is>
          <t>FM-TR240</t>
        </is>
      </c>
      <c r="C211" t="inlineStr">
        <is>
          <t>undetermined</t>
        </is>
      </c>
      <c r="D211" t="n">
        <v>254</v>
      </c>
      <c r="E211" t="inlineStr">
        <is>
          <t>產品線判不出（來源頁看不出有沒有滑軌）；複合機（翻轉鋸或上方附台的斜切鋸）不收</t>
        </is>
      </c>
      <c r="F211" t="inlineStr">
        <is>
          <t>https://www.manomano.es/p/ingletadora-para-madera-aluminio-diametro-254-con-mesa-1450-w-femi-ref-fm-tr240-6044755</t>
        </is>
      </c>
      <c r="G211" t="inlineStr">
        <is>
          <t>ES</t>
        </is>
      </c>
    </row>
    <row r="212">
      <c r="A212" t="inlineStr">
        <is>
          <t>Femi</t>
        </is>
      </c>
      <c r="B212" t="inlineStr">
        <is>
          <t>Jobline TR076</t>
        </is>
      </c>
      <c r="C212" t="inlineStr">
        <is>
          <t>undetermined</t>
        </is>
      </c>
      <c r="E212" t="inlineStr">
        <is>
          <t>來源頁看不到刀片直徑；產品線判不出（來源頁看不出有沒有滑軌）；複合機（翻轉鋸或上方附台的斜切鋸）不收</t>
        </is>
      </c>
      <c r="F212" t="inlineStr">
        <is>
          <t>https://www.galaxus.nl/nl/s4/product/femi-jobline-tr076-afkortzaag-met-boventafel-1200w-230v-radiale-snijders-37974345</t>
        </is>
      </c>
      <c r="G212" t="inlineStr">
        <is>
          <t>NL</t>
        </is>
      </c>
    </row>
    <row r="213">
      <c r="A213" t="inlineStr">
        <is>
          <t>Femi</t>
        </is>
      </c>
      <c r="B213" t="inlineStr">
        <is>
          <t>Jobline TR078</t>
        </is>
      </c>
      <c r="C213" t="inlineStr">
        <is>
          <t>undetermined</t>
        </is>
      </c>
      <c r="E213" t="inlineStr">
        <is>
          <t>來源頁看不到刀片直徑；產品線判不出（來源頁看不出有沒有滑軌）；複合機（翻轉鋸或上方附台的斜切鋸）不收</t>
        </is>
      </c>
      <c r="F213" t="inlineStr">
        <is>
          <t>https://www.galaxus.nl/nl/s4/product/femi-jobline-tr078-afkortzaagverstekzaagmachine-met-boventafel-1800w-230v-radiale-snijders-37965213</t>
        </is>
      </c>
      <c r="G213" t="inlineStr">
        <is>
          <t>NL</t>
        </is>
      </c>
    </row>
    <row r="214">
      <c r="A214" t="inlineStr">
        <is>
          <t>Femi</t>
        </is>
      </c>
      <c r="B214" t="inlineStr">
        <is>
          <t>TR 230</t>
        </is>
      </c>
      <c r="C214" t="inlineStr">
        <is>
          <t>compound</t>
        </is>
      </c>
      <c r="D214" t="n">
        <v>255</v>
      </c>
      <c r="E214" t="inlineStr">
        <is>
          <t>複合機（翻轉鋸或上方附台的斜切鋸）不收</t>
        </is>
      </c>
      <c r="F214" t="inlineStr">
        <is>
          <t>https://www.leroymerlin.it/prodotti/troncatrice-a-filo-femi-tr-230-255-mm-1600w-4800-giri-min-82764009.html</t>
        </is>
      </c>
      <c r="G214" t="inlineStr">
        <is>
          <t>IT</t>
        </is>
      </c>
    </row>
    <row r="215">
      <c r="A215" t="inlineStr">
        <is>
          <t>Femi</t>
        </is>
      </c>
      <c r="B215" t="inlineStr">
        <is>
          <t>TR 235</t>
        </is>
      </c>
      <c r="C215" t="inlineStr">
        <is>
          <t>sliding</t>
        </is>
      </c>
      <c r="D215" t="n">
        <v>250</v>
      </c>
      <c r="E215" t="inlineStr">
        <is>
          <t>複合機（翻轉鋸或上方附台的斜切鋸）不收</t>
        </is>
      </c>
      <c r="F215" t="inlineStr">
        <is>
          <t>https://www.obi-italia.it/p/4456760/troncatrice-radiale-femi-tr-235-250-mm-1800-w</t>
        </is>
      </c>
      <c r="G215" t="inlineStr">
        <is>
          <t>IT</t>
        </is>
      </c>
    </row>
    <row r="216">
      <c r="A216" t="inlineStr">
        <is>
          <t>Femi</t>
        </is>
      </c>
      <c r="B216" t="inlineStr">
        <is>
          <t>TR 250-i</t>
        </is>
      </c>
      <c r="C216" t="inlineStr">
        <is>
          <t>compound</t>
        </is>
      </c>
      <c r="D216" t="n">
        <v>250</v>
      </c>
      <c r="E216" t="inlineStr">
        <is>
          <t>複合機（翻轉鋸或上方附台的斜切鋸）不收</t>
        </is>
      </c>
      <c r="F216" t="inlineStr">
        <is>
          <t>https://www.skroutz.gr/s/7289478/Femi-TR-250-i-Faltsopriono-Reymatos-1200W-Dyo-Ergasion-Diametrou-250mm.html</t>
        </is>
      </c>
      <c r="G216" t="inlineStr">
        <is>
          <t>GR</t>
        </is>
      </c>
    </row>
    <row r="217">
      <c r="A217" t="inlineStr">
        <is>
          <t>Femi</t>
        </is>
      </c>
      <c r="B217" t="inlineStr">
        <is>
          <t>TR-1030DB/A</t>
        </is>
      </c>
      <c r="C217" t="inlineStr">
        <is>
          <t>sliding</t>
        </is>
      </c>
      <c r="D217" t="n">
        <v>305</v>
      </c>
      <c r="E217" t="inlineStr">
        <is>
          <t>刀片直徑不在 222～267 mm</t>
        </is>
      </c>
      <c r="F217" t="inlineStr">
        <is>
          <t>https://www.manomano.es/p/ingletadora-tr1030db-a-d305-2000w-smesa-femi-fm-tr1030db-a-71532871</t>
        </is>
      </c>
      <c r="G217" t="inlineStr">
        <is>
          <t>ES</t>
        </is>
      </c>
    </row>
    <row r="218">
      <c r="A218" t="inlineStr">
        <is>
          <t>Femi</t>
        </is>
      </c>
      <c r="B218" t="inlineStr">
        <is>
          <t>TR077</t>
        </is>
      </c>
      <c r="C218" t="inlineStr">
        <is>
          <t>undetermined</t>
        </is>
      </c>
      <c r="E218" t="inlineStr">
        <is>
          <t>來源頁看不到刀片直徑；產品線判不出（來源頁看不出有沒有滑軌）；複合機（翻轉鋸或上方附台的斜切鋸）不收</t>
        </is>
      </c>
      <c r="F218" t="inlineStr">
        <is>
          <t>https://www.galaxus.nl/nl/s4/product/femi-jobline-tr077-afkortzaag-met-boventafel-1200w-230v-radiale-snijders-37965215</t>
        </is>
      </c>
      <c r="G218" t="inlineStr">
        <is>
          <t>NL</t>
        </is>
      </c>
    </row>
    <row r="219">
      <c r="A219" t="inlineStr">
        <is>
          <t>Femi</t>
        </is>
      </c>
      <c r="B219" t="inlineStr">
        <is>
          <t>TR1021 D210</t>
        </is>
      </c>
      <c r="C219" t="inlineStr">
        <is>
          <t>sliding</t>
        </is>
      </c>
      <c r="D219" t="n">
        <v>210</v>
      </c>
      <c r="E219" t="inlineStr">
        <is>
          <t>刀片直徑不在 222～267 mm</t>
        </is>
      </c>
      <c r="F219" t="inlineStr">
        <is>
          <t>https://www.manomano.es/p/ingletadora-telescopica-femi-fm-tr1021-40980396</t>
        </is>
      </c>
      <c r="G219" t="inlineStr">
        <is>
          <t>ES</t>
        </is>
      </c>
    </row>
    <row r="220">
      <c r="A220" t="inlineStr">
        <is>
          <t>Femi</t>
        </is>
      </c>
      <c r="B220" t="inlineStr">
        <is>
          <t>TS 36-523</t>
        </is>
      </c>
      <c r="C220" t="inlineStr">
        <is>
          <t>table</t>
        </is>
      </c>
      <c r="D220" t="n">
        <v>250</v>
      </c>
      <c r="E220" t="inlineStr">
        <is>
          <t>找不到經目視確認、對應這台機器的商品圖：ManoMano 主圖只拍到機身底部與板手特寫（VERKTER 浮水印），看不出整台機器；下一輪補圖（2026-10-20 c 批目視）</t>
        </is>
      </c>
      <c r="F220" t="inlineStr">
        <is>
          <t>https://www.manomano.fr/p/scie-circulaire-femi-sur-table-250mm-230v-1500w-f36-523a-19082532</t>
        </is>
      </c>
      <c r="G220" t="inlineStr">
        <is>
          <t>FR</t>
        </is>
      </c>
    </row>
    <row r="221">
      <c r="A221" t="inlineStr">
        <is>
          <t>Femi</t>
        </is>
      </c>
      <c r="B221" t="inlineStr">
        <is>
          <t>TS36-528</t>
        </is>
      </c>
      <c r="C221" t="inlineStr">
        <is>
          <t>table</t>
        </is>
      </c>
      <c r="E221" t="inlineStr">
        <is>
          <t>來源頁看不到刀片直徑</t>
        </is>
      </c>
      <c r="F221" t="inlineStr">
        <is>
          <t>https://www.leroymerlin.it/prodotti/femi-ts36-528-banco-sega-per-legno-ts36-528-2000-w-femi-83088836.html</t>
        </is>
      </c>
      <c r="G221" t="inlineStr">
        <is>
          <t>IT</t>
        </is>
      </c>
    </row>
    <row r="222">
      <c r="A222" t="inlineStr">
        <is>
          <t>Femi</t>
        </is>
      </c>
      <c r="B222" t="inlineStr">
        <is>
          <t>XXX EVO</t>
        </is>
      </c>
      <c r="C222" t="inlineStr">
        <is>
          <t>sliding</t>
        </is>
      </c>
      <c r="D222" t="n">
        <v>305</v>
      </c>
      <c r="E222" t="inlineStr">
        <is>
          <t>刀片直徑不在 222～267 mm</t>
        </is>
      </c>
      <c r="F222" t="inlineStr">
        <is>
          <t>https://www.hornbach.de/p/kappsaege-femi-xxx-evo/10107066/</t>
        </is>
      </c>
      <c r="G222" t="inlineStr">
        <is>
          <t>DE</t>
        </is>
      </c>
    </row>
    <row r="223">
      <c r="A223" t="inlineStr">
        <is>
          <t>Femi</t>
        </is>
      </c>
      <c r="B223" t="inlineStr">
        <is>
          <t>XXX EVO ALU</t>
        </is>
      </c>
      <c r="C223" t="inlineStr">
        <is>
          <t>sliding</t>
        </is>
      </c>
      <c r="D223" t="n">
        <v>305</v>
      </c>
      <c r="E223" t="inlineStr">
        <is>
          <t>刀片直徑不在 222～267 mm</t>
        </is>
      </c>
      <c r="F223" t="inlineStr">
        <is>
          <t>https://www.hornbach.de/p/kappsaege-femi-xxx-evo-alu/10107067/</t>
        </is>
      </c>
      <c r="G223" t="inlineStr">
        <is>
          <t>DE</t>
        </is>
      </c>
    </row>
    <row r="224">
      <c r="A224" t="inlineStr">
        <is>
          <t>Festool</t>
        </is>
      </c>
      <c r="B224" t="inlineStr">
        <is>
          <t>CS 50 EBG</t>
        </is>
      </c>
      <c r="C224" t="inlineStr">
        <is>
          <t>undetermined</t>
        </is>
      </c>
      <c r="D224" t="n">
        <v>190</v>
      </c>
      <c r="E224" t="inlineStr">
        <is>
          <t>刀片直徑不在 222～267 mm；產品線判不出（來源頁看不出有沒有滑軌）；複合機（翻轉鋸或上方附台的斜切鋸）不收</t>
        </is>
      </c>
      <c r="F224" t="inlineStr">
        <is>
          <t>https://www.toolstation.be/festool-cs-50-ebg-tafelafkort-zaagmachine/p63121</t>
        </is>
      </c>
      <c r="G224" t="inlineStr">
        <is>
          <t>BE</t>
        </is>
      </c>
    </row>
    <row r="225">
      <c r="A225" t="inlineStr">
        <is>
          <t>Festool</t>
        </is>
      </c>
      <c r="B225" t="inlineStr">
        <is>
          <t>CS 50 EBG PRECISIO</t>
        </is>
      </c>
      <c r="C225" t="inlineStr">
        <is>
          <t>table</t>
        </is>
      </c>
      <c r="D225" t="n">
        <v>250</v>
      </c>
      <c r="E225" t="inlineStr">
        <is>
          <t>spec 排除：Castorama 規格欄刀徑 250 mm 與該系列型號不符，賣場規格欄多處明顯誤植（Puissance 1W 等）；未能以可信原文確認是 10 吋（2026-10-21 品質原則）</t>
        </is>
      </c>
      <c r="F225" t="inlineStr">
        <is>
          <t>https://www.castorama.fr/mkp/scie-semi-stationnaire-cs-50-ebg-precisio-1200-w-28-15-kg-festool-574765/4014549265857_CAFR.prd</t>
        </is>
      </c>
      <c r="G225" t="inlineStr">
        <is>
          <t>FR</t>
        </is>
      </c>
    </row>
    <row r="226">
      <c r="A226" t="inlineStr">
        <is>
          <t>Festool</t>
        </is>
      </c>
      <c r="B226" t="inlineStr">
        <is>
          <t>CS 50 EBG-Set PRECISIO</t>
        </is>
      </c>
      <c r="C226" t="inlineStr">
        <is>
          <t>table</t>
        </is>
      </c>
      <c r="D226" t="n">
        <v>190</v>
      </c>
      <c r="E226" t="inlineStr">
        <is>
          <t>刀片直徑不在 222～267 mm</t>
        </is>
      </c>
      <c r="F226" t="inlineStr">
        <is>
          <t>https://www.manomano.es/p/festool-sierra-de-tronzar-cs-50-eb-set-4334286</t>
        </is>
      </c>
      <c r="G226" t="inlineStr">
        <is>
          <t>ES</t>
        </is>
      </c>
    </row>
    <row r="227">
      <c r="A227" t="inlineStr">
        <is>
          <t>Festool</t>
        </is>
      </c>
      <c r="B227" t="inlineStr">
        <is>
          <t>CS 70 EBG PRECISIO</t>
        </is>
      </c>
      <c r="C227" t="inlineStr">
        <is>
          <t>table</t>
        </is>
      </c>
      <c r="D227" t="n">
        <v>225</v>
      </c>
      <c r="E227" t="inlineStr">
        <is>
          <t>複合機（翻轉鋸或上方附台的斜切鋸）不收</t>
        </is>
      </c>
      <c r="F227" t="inlineStr">
        <is>
          <t>https://www.manomano.de/p/festool-tischzugsaege-cs-70-ebg-precisio-574776-10258851</t>
        </is>
      </c>
      <c r="G227" t="inlineStr">
        <is>
          <t>DE</t>
        </is>
      </c>
    </row>
    <row r="228">
      <c r="A228" t="inlineStr">
        <is>
          <t>Festool</t>
        </is>
      </c>
      <c r="B228" t="inlineStr">
        <is>
          <t>CS 70 EBG-Set</t>
        </is>
      </c>
      <c r="C228" t="inlineStr">
        <is>
          <t>table</t>
        </is>
      </c>
      <c r="D228" t="n">
        <v>225</v>
      </c>
      <c r="E228" t="inlineStr">
        <is>
          <t>套裝價（含其他物品），不算機台價（10-19 表單）</t>
        </is>
      </c>
      <c r="F228" t="inlineStr">
        <is>
          <t>https://www.castorama.fr/mkp/scie-semi-stationnaire-cs-70-ebg-set-precisio-574782/4014549266045_CAFR.prd</t>
        </is>
      </c>
      <c r="G228" t="inlineStr">
        <is>
          <t>FR</t>
        </is>
      </c>
    </row>
    <row r="229">
      <c r="A229" t="inlineStr">
        <is>
          <t>Festool</t>
        </is>
      </c>
      <c r="B229" t="inlineStr">
        <is>
          <t>CS 70 EG PRECISIO</t>
        </is>
      </c>
      <c r="C229" t="inlineStr">
        <is>
          <t>table</t>
        </is>
      </c>
      <c r="D229" t="n">
        <v>225</v>
      </c>
      <c r="E229" t="inlineStr">
        <is>
          <t>複合機（翻轉鋸或上方附台的斜切鋸）不收</t>
        </is>
      </c>
      <c r="F229" t="inlineStr">
        <is>
          <t>https://www.hornbach.de/p/festool-cs-70-eg-precisio-tischzugsaege-574778-2100w-225mm-zubehoer/12243691/</t>
        </is>
      </c>
      <c r="G229" t="inlineStr">
        <is>
          <t>DE</t>
        </is>
      </c>
    </row>
    <row r="230">
      <c r="A230" t="inlineStr">
        <is>
          <t>Festool</t>
        </is>
      </c>
      <c r="B230" t="inlineStr">
        <is>
          <t>CSC SYS 50 EBI-Basic Solo</t>
        </is>
      </c>
      <c r="C230" t="inlineStr">
        <is>
          <t>table</t>
        </is>
      </c>
      <c r="D230" t="n">
        <v>168</v>
      </c>
      <c r="E230" t="inlineStr">
        <is>
          <t>刀片直徑不在 222～267 mm；交期 10 天以上（Lieferzeit ca. 5 Wochen）</t>
        </is>
      </c>
      <c r="F230" t="inlineStr">
        <is>
          <t>https://www.hornbach.de/p/festool-akku-tischkreissaege-csc-sys-50-ebi-basic-solo-master-edition-578200/12385143/</t>
        </is>
      </c>
      <c r="G230" t="inlineStr">
        <is>
          <t>DE</t>
        </is>
      </c>
    </row>
    <row r="231">
      <c r="A231" t="inlineStr">
        <is>
          <t>Festool</t>
        </is>
      </c>
      <c r="B231" t="inlineStr">
        <is>
          <t>Kapex KS 120 EB</t>
        </is>
      </c>
      <c r="C231" t="inlineStr">
        <is>
          <t>sliding</t>
        </is>
      </c>
      <c r="E231" t="inlineStr">
        <is>
          <t>來源頁看不到刀片直徑；二手或翻新</t>
        </is>
      </c>
      <c r="F231" t="inlineStr">
        <is>
          <t>https://www.ebay.at/itm/128006870683</t>
        </is>
      </c>
      <c r="G231" t="inlineStr">
        <is>
          <t>AT</t>
        </is>
      </c>
    </row>
    <row r="232">
      <c r="A232" t="inlineStr">
        <is>
          <t>Festool</t>
        </is>
      </c>
      <c r="B232" t="inlineStr">
        <is>
          <t>KAPEX KS 120 REB</t>
        </is>
      </c>
      <c r="C232" t="inlineStr">
        <is>
          <t>sliding</t>
        </is>
      </c>
      <c r="E232" t="inlineStr">
        <is>
          <t>來源頁看不到刀片直徑</t>
        </is>
      </c>
      <c r="F232" t="inlineStr">
        <is>
          <t>https://www.manomano.es/p/festool-sierra-tronzadora-ks-120-reb-set-ug-festool-10258862?model_id=27998</t>
        </is>
      </c>
      <c r="G232" t="inlineStr">
        <is>
          <t>ES</t>
        </is>
      </c>
    </row>
    <row r="233">
      <c r="A233" t="inlineStr">
        <is>
          <t>Festool</t>
        </is>
      </c>
      <c r="B233" t="inlineStr">
        <is>
          <t>KAPEX KS 60 E</t>
        </is>
      </c>
      <c r="C233" t="inlineStr">
        <is>
          <t>sliding</t>
        </is>
      </c>
      <c r="D233" t="n">
        <v>216</v>
      </c>
      <c r="E233" t="inlineStr">
        <is>
          <t>刀片直徑不在 222～267 mm</t>
        </is>
      </c>
      <c r="F233" t="inlineStr">
        <is>
          <t>https://www.manomano.es/p/festool-sierra-tronzadora-ks-60-e-kapex-4579898?model_id=4579898</t>
        </is>
      </c>
      <c r="G233" t="inlineStr">
        <is>
          <t>ES</t>
        </is>
      </c>
    </row>
    <row r="234">
      <c r="A234" t="inlineStr">
        <is>
          <t>Festool</t>
        </is>
      </c>
      <c r="B234" t="inlineStr">
        <is>
          <t>Kapex KS 60 E-SET</t>
        </is>
      </c>
      <c r="C234" t="inlineStr">
        <is>
          <t>sliding</t>
        </is>
      </c>
      <c r="D234" t="n">
        <v>216</v>
      </c>
      <c r="E234" t="inlineStr">
        <is>
          <t>刀片直徑不在 222～267 mm；套裝價（型號帶 Set），不算機台價（10-19 表單）</t>
        </is>
      </c>
      <c r="F234" t="inlineStr">
        <is>
          <t>https://www.toolstation.be/festool-kapex-ks-60-e-set-radiaal-afkort-verstekzaagmachine/p91410</t>
        </is>
      </c>
      <c r="G234" t="inlineStr">
        <is>
          <t>BE</t>
        </is>
      </c>
    </row>
    <row r="235">
      <c r="A235" t="inlineStr">
        <is>
          <t>Festool</t>
        </is>
      </c>
      <c r="B235" t="inlineStr">
        <is>
          <t>KAPEX KSC 60 EB</t>
        </is>
      </c>
      <c r="C235" t="inlineStr">
        <is>
          <t>sliding</t>
        </is>
      </c>
      <c r="D235" t="n">
        <v>216</v>
      </c>
      <c r="E235" t="inlineStr">
        <is>
          <t>刀片直徑不在 222～267 mm；套裝價（含其他物品），不算機台價（10-19 表單）</t>
        </is>
      </c>
      <c r="F235" t="inlineStr">
        <is>
          <t>https://www.hornbach.de/p/festool-akku-kapp-zugsaege-kapex-ksc-60-eb-5-0-i-plus-2x-5-0-ah-akku-ladegeraet-577954/12385133/</t>
        </is>
      </c>
      <c r="G235" t="inlineStr">
        <is>
          <t>DE</t>
        </is>
      </c>
    </row>
    <row r="236">
      <c r="A236" t="inlineStr">
        <is>
          <t>Festool</t>
        </is>
      </c>
      <c r="B236" t="inlineStr">
        <is>
          <t>KAPEX KSC 60 EB-Basic Solo</t>
        </is>
      </c>
      <c r="C236" t="inlineStr">
        <is>
          <t>sliding</t>
        </is>
      </c>
      <c r="D236" t="n">
        <v>216</v>
      </c>
      <c r="E236" t="inlineStr">
        <is>
          <t>刀片直徑不在 222～267 mm</t>
        </is>
      </c>
      <c r="F236" t="inlineStr">
        <is>
          <t>https://www.hornbach.de/p/festool-akku-kapp-zugsaege-kapex-ksc-60-eb-basic-solo-577775/12385132/</t>
        </is>
      </c>
      <c r="G236" t="inlineStr">
        <is>
          <t>DE</t>
        </is>
      </c>
    </row>
    <row r="237">
      <c r="A237" t="inlineStr">
        <is>
          <t>Festool</t>
        </is>
      </c>
      <c r="B237" t="inlineStr">
        <is>
          <t>KS 120 REB GB</t>
        </is>
      </c>
      <c r="C237" t="inlineStr">
        <is>
          <t>sliding</t>
        </is>
      </c>
      <c r="E237" t="inlineStr">
        <is>
          <t>來源頁看不到刀片直徑</t>
        </is>
      </c>
      <c r="F237" t="inlineStr">
        <is>
          <t>https://www.skroutz.gr/s/18115572/Festool-KS-120-REB-GB-Faltsopriono-Reymatos-1600W-Syromeno-me-Odigo-Laser.html</t>
        </is>
      </c>
      <c r="G237" t="inlineStr">
        <is>
          <t>GR</t>
        </is>
      </c>
    </row>
    <row r="238">
      <c r="A238" t="inlineStr">
        <is>
          <t>Festool</t>
        </is>
      </c>
      <c r="B238" t="inlineStr">
        <is>
          <t>KS 60 E</t>
        </is>
      </c>
      <c r="C238" t="inlineStr">
        <is>
          <t>compound</t>
        </is>
      </c>
      <c r="E238" t="inlineStr">
        <is>
          <t>來源頁看不到刀片直徑；交期 10 天以上（Livré entre ven, 30/10 et ven, 6/11）</t>
        </is>
      </c>
      <c r="F238" t="inlineStr">
        <is>
          <t>https://www.galaxus.be/fr/s4/product/ks-60-e-scie-a-onglet-32628860</t>
        </is>
      </c>
      <c r="G238" t="inlineStr">
        <is>
          <t>BE</t>
        </is>
      </c>
    </row>
    <row r="239">
      <c r="A239" t="inlineStr">
        <is>
          <t>Festool</t>
        </is>
      </c>
      <c r="B239" t="inlineStr">
        <is>
          <t>KS 60 E-SET</t>
        </is>
      </c>
      <c r="C239" t="inlineStr">
        <is>
          <t>sliding</t>
        </is>
      </c>
      <c r="D239" t="n">
        <v>216</v>
      </c>
      <c r="E239" t="inlineStr">
        <is>
          <t>刀片直徑不在 222～267 mm；套裝價（型號帶 Set），不算機台價（10-19 表單）</t>
        </is>
      </c>
      <c r="F239" t="inlineStr">
        <is>
          <t>https://www.toolstation.nl/festool-kapex-ks-60-e-set-radiaal-afkort-verstekzaagmachine/p91410</t>
        </is>
      </c>
      <c r="G239" t="inlineStr">
        <is>
          <t>NL</t>
        </is>
      </c>
    </row>
    <row r="240">
      <c r="A240" t="inlineStr">
        <is>
          <t>Festool</t>
        </is>
      </c>
      <c r="B240" t="inlineStr">
        <is>
          <t>KS 60 E-UG- Set/XL</t>
        </is>
      </c>
      <c r="C240" t="inlineStr">
        <is>
          <t>sliding</t>
        </is>
      </c>
      <c r="E240" t="inlineStr">
        <is>
          <t>來源頁看不到刀片直徑</t>
        </is>
      </c>
      <c r="F240" t="inlineStr">
        <is>
          <t>https://www.galaxus.nl/nl/s4/product/festool-ks-60-e-ug-setxl-kapex-afkortzaag-574789-radiale-snijders-39357228</t>
        </is>
      </c>
      <c r="G240" t="inlineStr">
        <is>
          <t>NL</t>
        </is>
      </c>
    </row>
    <row r="241">
      <c r="A241" t="inlineStr">
        <is>
          <t>Festool</t>
        </is>
      </c>
      <c r="B241" t="inlineStr">
        <is>
          <t>PRECISIO CS 50 EBG</t>
        </is>
      </c>
      <c r="C241" t="inlineStr">
        <is>
          <t>table</t>
        </is>
      </c>
      <c r="D241" t="n">
        <v>190</v>
      </c>
      <c r="E241" t="inlineStr">
        <is>
          <t>刀片直徑不在 222～267 mm</t>
        </is>
      </c>
      <c r="F241" t="inlineStr">
        <is>
          <t>https://www.hornbach.de/p/festool-tischzugsaege-precisio-cs-50-ebg-574765/12831134/</t>
        </is>
      </c>
      <c r="G241" t="inlineStr">
        <is>
          <t>DE</t>
        </is>
      </c>
    </row>
    <row r="242">
      <c r="A242" t="inlineStr">
        <is>
          <t>Festool</t>
        </is>
      </c>
      <c r="B242" t="inlineStr">
        <is>
          <t>SYMC 70 4,0 EBI-Plus</t>
        </is>
      </c>
      <c r="C242" t="inlineStr">
        <is>
          <t>compound</t>
        </is>
      </c>
      <c r="E242" t="inlineStr">
        <is>
          <t>來源頁看不到刀片直徑</t>
        </is>
      </c>
      <c r="F242" t="inlineStr">
        <is>
          <t>https://www.galaxus.be/fr/s4/product/festool-scie-a-plinthes-sans-fil-symmetric-symc-70-40-ebi-plus-scie-a-onglet-37864868</t>
        </is>
      </c>
      <c r="G242" t="inlineStr">
        <is>
          <t>BE</t>
        </is>
      </c>
    </row>
    <row r="243">
      <c r="A243" t="inlineStr">
        <is>
          <t>Festool</t>
        </is>
      </c>
      <c r="B243" t="inlineStr">
        <is>
          <t>SYMC 70 EB-Basic</t>
        </is>
      </c>
      <c r="C243" t="inlineStr">
        <is>
          <t>table</t>
        </is>
      </c>
      <c r="E243" t="inlineStr">
        <is>
          <t>來源頁看不到刀片直徑；交期 10 天以上（Livré entre mar, 3/11 et mar, 10/11）</t>
        </is>
      </c>
      <c r="F243" t="inlineStr">
        <is>
          <t>https://www.galaxus.fr/fr/s4/product/festool-symmetric-symc-70-eb-basic-scie-circulaire-sur-table-37509065</t>
        </is>
      </c>
      <c r="G243" t="inlineStr">
        <is>
          <t>FR</t>
        </is>
      </c>
    </row>
    <row r="244">
      <c r="A244" t="inlineStr">
        <is>
          <t>Festool</t>
        </is>
      </c>
      <c r="B244" t="inlineStr">
        <is>
          <t>TKS 80 EBS Set</t>
        </is>
      </c>
      <c r="C244" t="inlineStr">
        <is>
          <t>table</t>
        </is>
      </c>
      <c r="D244" t="n">
        <v>254</v>
      </c>
      <c r="E244" t="inlineStr">
        <is>
          <t>沒有可用的含稅售價</t>
        </is>
      </c>
      <c r="F244" t="inlineStr">
        <is>
          <t>https://www.amazon.de/Festool-Tischkreissäge-TKS-80-EBS-Set/dp/B086QM29MV?th=1</t>
        </is>
      </c>
      <c r="G244" t="inlineStr">
        <is>
          <t>DE</t>
        </is>
      </c>
    </row>
    <row r="245">
      <c r="A245" t="inlineStr">
        <is>
          <t>FF Group</t>
        </is>
      </c>
      <c r="B245" t="inlineStr">
        <is>
          <t>TBS 315 Plus</t>
        </is>
      </c>
      <c r="C245" t="inlineStr">
        <is>
          <t>table</t>
        </is>
      </c>
      <c r="E245" t="inlineStr">
        <is>
          <t>來源頁看不到刀片直徑</t>
        </is>
      </c>
      <c r="F245" t="inlineStr">
        <is>
          <t>https://www.leroymerlin.it/prodotti/banco-sega-circolare-tbs-315-plus-ff-group-95185963.html</t>
        </is>
      </c>
      <c r="G245" t="inlineStr">
        <is>
          <t>IT</t>
        </is>
      </c>
    </row>
    <row r="246">
      <c r="A246" t="inlineStr">
        <is>
          <t>Flex</t>
        </is>
      </c>
      <c r="B246" t="inlineStr">
        <is>
          <t>TS 92 18-EC</t>
        </is>
      </c>
      <c r="C246" t="inlineStr">
        <is>
          <t>table</t>
        </is>
      </c>
      <c r="E246" t="inlineStr">
        <is>
          <t>來源頁看不到刀片直徑；交期 10 天以上（Livré entre ven, 13/11 et sam, 21/11）</t>
        </is>
      </c>
      <c r="F246" t="inlineStr">
        <is>
          <t>https://www.galaxus.be/fr/s4/product/flex-scie-sur-table-sans-fil-ts-92-18-ec-scie-circulaire-sur-table-53675599</t>
        </is>
      </c>
      <c r="G246" t="inlineStr">
        <is>
          <t>BE</t>
        </is>
      </c>
    </row>
    <row r="247">
      <c r="A247" t="inlineStr">
        <is>
          <t>FXA</t>
        </is>
      </c>
      <c r="B247" t="inlineStr">
        <is>
          <t>HF 255E/2000</t>
        </is>
      </c>
      <c r="C247" t="inlineStr">
        <is>
          <t>sliding</t>
        </is>
      </c>
      <c r="D247" t="n">
        <v>255</v>
      </c>
      <c r="E247" t="inlineStr">
        <is>
          <t>找不到經目視確認、對應這台機器的商品圖：圖是切木頭的局部特寫，看不出整台機器</t>
        </is>
      </c>
      <c r="F247" t="inlineStr">
        <is>
          <t>https://www.k-rauta.fi/tuote/katkaisu-ja-jiirisaha-fxa-hf-255e2000/6438313613008</t>
        </is>
      </c>
      <c r="G247" t="inlineStr">
        <is>
          <t>FI</t>
        </is>
      </c>
    </row>
    <row r="248">
      <c r="A248" t="inlineStr">
        <is>
          <t>Globe Power Tools</t>
        </is>
      </c>
      <c r="B248" t="inlineStr">
        <is>
          <t>S355CPS</t>
        </is>
      </c>
      <c r="C248" t="inlineStr">
        <is>
          <t>undetermined</t>
        </is>
      </c>
      <c r="D248" t="n">
        <v>355</v>
      </c>
      <c r="E248" t="inlineStr">
        <is>
          <t>刀片直徑不在 222～267 mm；產品線判不出（來源頁看不出有沒有滑軌）</t>
        </is>
      </c>
      <c r="F248" t="inlineStr">
        <is>
          <t>https://www.galaxus.nl/nl/s4/product/globe-power-tools-084-0003-s355cps-evolution-s355cps-355mm-industriele-stalen-afkortzaag-onmiddellij-24667399</t>
        </is>
      </c>
      <c r="G248" t="inlineStr">
        <is>
          <t>NL</t>
        </is>
      </c>
    </row>
    <row r="249">
      <c r="A249" t="inlineStr">
        <is>
          <t>Graphite</t>
        </is>
      </c>
      <c r="B249" t="inlineStr"/>
      <c r="C249" t="inlineStr">
        <is>
          <t>compound</t>
        </is>
      </c>
      <c r="D249" t="n">
        <v>254</v>
      </c>
      <c r="E249" t="inlineStr">
        <is>
          <t>來源頁看不到型號</t>
        </is>
      </c>
      <c r="F249" t="inlineStr">
        <is>
          <t>https://www.cdiscount.com/bricolage/outillage/scie--onglets-lectrique--/f-166010106-aacpn11664.html</t>
        </is>
      </c>
      <c r="G249" t="inlineStr">
        <is>
          <t>FR</t>
        </is>
      </c>
    </row>
    <row r="250">
      <c r="A250" t="inlineStr">
        <is>
          <t>Grunder</t>
        </is>
      </c>
      <c r="B250" t="inlineStr">
        <is>
          <t>M1H-ZP12-254-3</t>
        </is>
      </c>
      <c r="C250" t="inlineStr">
        <is>
          <t>table</t>
        </is>
      </c>
      <c r="D250" t="n">
        <v>254</v>
      </c>
      <c r="E250" t="inlineStr">
        <is>
          <t>交期 10 天以上（Consegna tra mar, 17/11 e mar, 24/11）</t>
        </is>
      </c>
      <c r="F250" t="inlineStr">
        <is>
          <t>https://www.galaxus.it/it/s4/product/grunder-table-saw-m1h-zp12-254-3-d254-1800w-sega-circolare-da-tavolo-58780769</t>
        </is>
      </c>
      <c r="G250" t="inlineStr">
        <is>
          <t>IT</t>
        </is>
      </c>
    </row>
    <row r="251">
      <c r="A251" t="inlineStr">
        <is>
          <t>Güde</t>
        </is>
      </c>
      <c r="B251" t="inlineStr">
        <is>
          <t>GFO 1801</t>
        </is>
      </c>
      <c r="C251" t="inlineStr">
        <is>
          <t>compound</t>
        </is>
      </c>
      <c r="D251" t="n">
        <v>254</v>
      </c>
      <c r="E251" t="inlineStr">
        <is>
          <t>複合機（翻轉鋸或上方附台的斜切鋸）不收</t>
        </is>
      </c>
      <c r="F251" t="inlineStr">
        <is>
          <t>https://www.manomano.de/p/guede-tisch-kapp-gehrungssaege-gfo-1801-1534498</t>
        </is>
      </c>
      <c r="G251" t="inlineStr">
        <is>
          <t>DE</t>
        </is>
      </c>
    </row>
    <row r="252">
      <c r="A252" t="inlineStr">
        <is>
          <t>Güde</t>
        </is>
      </c>
      <c r="B252" t="inlineStr">
        <is>
          <t>GKS 2134.1</t>
        </is>
      </c>
      <c r="C252" t="inlineStr">
        <is>
          <t>undetermined</t>
        </is>
      </c>
      <c r="E252" t="inlineStr">
        <is>
          <t>來源頁看不到刀片直徑；產品線判不出（來源頁看不出有沒有滑軌）</t>
        </is>
      </c>
      <c r="F252" t="inlineStr">
        <is>
          <t>https://www.krollit.it/products/seghe-troncatrici-guede-gks-2134-1</t>
        </is>
      </c>
      <c r="G252" t="inlineStr">
        <is>
          <t>IT</t>
        </is>
      </c>
    </row>
    <row r="253">
      <c r="A253" t="inlineStr">
        <is>
          <t>Güde</t>
        </is>
      </c>
      <c r="B253" t="inlineStr">
        <is>
          <t>GMK 355-22</t>
        </is>
      </c>
      <c r="C253" t="inlineStr">
        <is>
          <t>undetermined</t>
        </is>
      </c>
      <c r="E253" t="inlineStr">
        <is>
          <t>來源頁看不到刀片直徑；產品線判不出（來源頁看不出有沒有滑軌）；交期 10 天以上（Livré entre ven, 6/11 et sam, 14/11）</t>
        </is>
      </c>
      <c r="F253" t="inlineStr">
        <is>
          <t>https://www.galaxus.be/fr/s4/product/guede-scie-circulaire-a-metaux-gmk-355-22-scie-circulaire-sur-table-14693870</t>
        </is>
      </c>
      <c r="G253" t="inlineStr">
        <is>
          <t>BE</t>
        </is>
      </c>
    </row>
    <row r="254">
      <c r="A254" t="inlineStr">
        <is>
          <t>Güde</t>
        </is>
      </c>
      <c r="B254" t="inlineStr">
        <is>
          <t>GRK 2134.1 BSL</t>
        </is>
      </c>
      <c r="C254" t="inlineStr">
        <is>
          <t>sliding</t>
        </is>
      </c>
      <c r="D254" t="n">
        <v>210</v>
      </c>
      <c r="E254" t="inlineStr">
        <is>
          <t>刀片直徑不在 222～267 mm</t>
        </is>
      </c>
      <c r="F254" t="inlineStr">
        <is>
          <t>https://www.praxis.nl/gereedschap-werkplaats/elektrisch-gereedschap/zaagmachines/afkortzagen/gude-radiaal-afkortzaag-grk-2134-1-bsl/10390223</t>
        </is>
      </c>
      <c r="G254" t="inlineStr">
        <is>
          <t>NL</t>
        </is>
      </c>
    </row>
    <row r="255">
      <c r="A255" t="inlineStr">
        <is>
          <t>Güde</t>
        </is>
      </c>
      <c r="B255" t="inlineStr">
        <is>
          <t>GRK 2534.1 BSL</t>
        </is>
      </c>
      <c r="C255" t="inlineStr">
        <is>
          <t>sliding</t>
        </is>
      </c>
      <c r="E255" t="inlineStr">
        <is>
          <t>來源頁看不到刀片直徑</t>
        </is>
      </c>
      <c r="F255" t="inlineStr">
        <is>
          <t>https://www.krollit.it/products/seghe-troncatrici-guede-grk-2534-1-bsl</t>
        </is>
      </c>
      <c r="G255" t="inlineStr">
        <is>
          <t>IT</t>
        </is>
      </c>
    </row>
    <row r="256">
      <c r="A256" t="inlineStr">
        <is>
          <t>Güde</t>
        </is>
      </c>
      <c r="B256" t="inlineStr">
        <is>
          <t>GRK 3034.1 BSL</t>
        </is>
      </c>
      <c r="C256" t="inlineStr">
        <is>
          <t>sliding</t>
        </is>
      </c>
      <c r="D256" t="n">
        <v>305</v>
      </c>
      <c r="E256" t="inlineStr">
        <is>
          <t>刀片直徑不在 222～267 mm</t>
        </is>
      </c>
      <c r="F256" t="inlineStr">
        <is>
          <t>https://www.krollit.it/products/seghe-troncatrici-guede-grk-3034-1-bsl</t>
        </is>
      </c>
      <c r="G256" t="inlineStr">
        <is>
          <t>IT</t>
        </is>
      </c>
    </row>
    <row r="257">
      <c r="A257" t="inlineStr">
        <is>
          <t>Güde</t>
        </is>
      </c>
      <c r="B257" t="inlineStr">
        <is>
          <t>GTK 2100.1</t>
        </is>
      </c>
      <c r="C257" t="inlineStr">
        <is>
          <t>table</t>
        </is>
      </c>
      <c r="E257" t="inlineStr">
        <is>
          <t>來源頁看不到刀片直徑</t>
        </is>
      </c>
      <c r="F257" t="inlineStr">
        <is>
          <t>https://www.galaxus.nl/nl/s4/product/guede-tafelcirkelzaag-gtk-21001-55253-tafelcirkelzagen-32331734</t>
        </is>
      </c>
      <c r="G257" t="inlineStr">
        <is>
          <t>NL</t>
        </is>
      </c>
    </row>
    <row r="258">
      <c r="A258" t="inlineStr">
        <is>
          <t>Güde</t>
        </is>
      </c>
      <c r="B258" t="inlineStr">
        <is>
          <t>GTKS 315/230V</t>
        </is>
      </c>
      <c r="C258" t="inlineStr">
        <is>
          <t>table</t>
        </is>
      </c>
      <c r="D258" t="n">
        <v>315</v>
      </c>
      <c r="E258" t="inlineStr">
        <is>
          <t>刀片直徑不在 222～267 mm；交期 10 天以上（Fr. 06. – Di. 10. November）</t>
        </is>
      </c>
      <c r="F258" t="inlineStr">
        <is>
          <t>https://www.kaufland.at/product/39711481/</t>
        </is>
      </c>
      <c r="G258" t="inlineStr">
        <is>
          <t>AT</t>
        </is>
      </c>
    </row>
    <row r="259">
      <c r="A259" t="inlineStr">
        <is>
          <t>Güde</t>
        </is>
      </c>
      <c r="B259" t="inlineStr">
        <is>
          <t>GTKS 315/400V</t>
        </is>
      </c>
      <c r="C259" t="inlineStr">
        <is>
          <t>table</t>
        </is>
      </c>
      <c r="E259" t="inlineStr">
        <is>
          <t>來源頁看不到刀片直徑</t>
        </is>
      </c>
      <c r="F259" t="inlineStr">
        <is>
          <t>https://www.manomano.de/p/guede-gtks-315-tischkreissaege-400-v-22-kw-55152-3038263</t>
        </is>
      </c>
      <c r="G259" t="inlineStr">
        <is>
          <t>DE</t>
        </is>
      </c>
    </row>
    <row r="260">
      <c r="A260" t="inlineStr">
        <is>
          <t>Güde</t>
        </is>
      </c>
      <c r="B260" t="inlineStr">
        <is>
          <t>TKGS 210</t>
        </is>
      </c>
      <c r="C260" t="inlineStr">
        <is>
          <t>undetermined</t>
        </is>
      </c>
      <c r="E260" t="inlineStr">
        <is>
          <t>來源頁看不到刀片直徑；產品線判不出（來源頁看不出有沒有滑軌）；複合機（翻轉鋸或上方附台的斜切鋸）不收</t>
        </is>
      </c>
      <c r="F260" t="inlineStr">
        <is>
          <t>https://www.krollit.it/products/seghe-troncatrici-guede-tkgs-210</t>
        </is>
      </c>
      <c r="G260" t="inlineStr">
        <is>
          <t>IT</t>
        </is>
      </c>
    </row>
    <row r="261">
      <c r="A261" t="inlineStr">
        <is>
          <t>Güde</t>
        </is>
      </c>
      <c r="B261" t="inlineStr">
        <is>
          <t>TKGS 254.2</t>
        </is>
      </c>
      <c r="C261" t="inlineStr">
        <is>
          <t>compound</t>
        </is>
      </c>
      <c r="D261" t="n">
        <v>254</v>
      </c>
      <c r="E261" t="inlineStr">
        <is>
          <t>複合機（翻轉鋸或上方附台的斜切鋸）不收</t>
        </is>
      </c>
      <c r="F261" t="inlineStr">
        <is>
          <t>https://www.manomano.de/p/gde-tisch-kappsge-tkgs-2542-55269-32678407</t>
        </is>
      </c>
      <c r="G261" t="inlineStr">
        <is>
          <t>DE</t>
        </is>
      </c>
    </row>
    <row r="262">
      <c r="A262" t="inlineStr">
        <is>
          <t>HiKOKI</t>
        </is>
      </c>
      <c r="B262" t="inlineStr">
        <is>
          <t>C10RJ</t>
        </is>
      </c>
      <c r="C262" t="inlineStr">
        <is>
          <t>table</t>
        </is>
      </c>
      <c r="D262" t="n">
        <v>254</v>
      </c>
      <c r="E262" t="inlineStr">
        <is>
          <t>MediaWorld 市集賣家 MORELE.NET（波蘭），跨國賣家不算該國通路；比照第 14 版 MediaMarkt AT（2026-10-21 使用者表單「一併不採」，10-22 第 15 版套用到前幾版的頁）；找不到經目視確認、對應這台機器的商品圖：MediaWorld 存檔沒有可用的商品圖網址；下一輪補圖（2026-10-21）</t>
        </is>
      </c>
      <c r="F262" t="inlineStr">
        <is>
          <t>https://www.mediaworld.it/it/product/_sega-circolare-hikoki-c10rj-15-w-45-girimin-163307450.html</t>
        </is>
      </c>
      <c r="G262" t="inlineStr">
        <is>
          <t>IT</t>
        </is>
      </c>
    </row>
    <row r="263">
      <c r="A263" t="inlineStr">
        <is>
          <t>HiKOKI</t>
        </is>
      </c>
      <c r="B263" t="inlineStr">
        <is>
          <t>C3610DRA/W4Z</t>
        </is>
      </c>
      <c r="C263" t="inlineStr">
        <is>
          <t>sliding</t>
        </is>
      </c>
      <c r="D263" t="n">
        <v>255</v>
      </c>
      <c r="E263" t="inlineStr">
        <is>
          <t>只有缺貨的價格</t>
        </is>
      </c>
      <c r="F263" t="inlineStr">
        <is>
          <t>https://www.howetools.co.uk/hikoki-c3610dra-w4z-36v-slide-mitre-saw-255mm-blade</t>
        </is>
      </c>
      <c r="G263" t="inlineStr">
        <is>
          <t>GB</t>
        </is>
      </c>
    </row>
    <row r="264">
      <c r="A264" t="inlineStr">
        <is>
          <t>HiKOKI</t>
        </is>
      </c>
      <c r="B264" t="inlineStr">
        <is>
          <t>C3610DRJW4Z</t>
        </is>
      </c>
      <c r="C264" t="inlineStr">
        <is>
          <t>table</t>
        </is>
      </c>
      <c r="D264" t="n">
        <v>255</v>
      </c>
      <c r="E264" t="inlineStr">
        <is>
          <t>找不到經目視確認、對應這台機器的商品圖：唯一售價頁 Klium 抓圖 403、沒有 og:image，沒有可目視的機台圖；下一輪補圖（2026-10-21）；10-21 補查官網與搜尋都沒有這個型號的商品圖</t>
        </is>
      </c>
      <c r="F264" t="inlineStr">
        <is>
          <t>https://www.klium.nl/en/hikoki-c3610drjw4z-36v-cordless-saw-table-255-mm-without-battery-and-charger-142392</t>
        </is>
      </c>
      <c r="G264" t="inlineStr">
        <is>
          <t>NL</t>
        </is>
      </c>
    </row>
    <row r="265">
      <c r="A265" t="inlineStr">
        <is>
          <t>HiKOKI</t>
        </is>
      </c>
      <c r="B265" t="inlineStr">
        <is>
          <t>C8FSHG</t>
        </is>
      </c>
      <c r="C265" t="inlineStr">
        <is>
          <t>compound</t>
        </is>
      </c>
      <c r="D265" t="n">
        <v>216</v>
      </c>
      <c r="E265" t="inlineStr">
        <is>
          <t>刀片直徑不在 222～267 mm</t>
        </is>
      </c>
      <c r="F265" t="inlineStr">
        <is>
          <t>https://www.toolstation.nl/hikoki-c8fshg-waz-afkortzaagmachine/p55029</t>
        </is>
      </c>
      <c r="G265" t="inlineStr">
        <is>
          <t>NL</t>
        </is>
      </c>
    </row>
    <row r="266">
      <c r="A266" t="inlineStr">
        <is>
          <t>Holzmann</t>
        </is>
      </c>
      <c r="B266" t="inlineStr">
        <is>
          <t>HBS245HQ</t>
        </is>
      </c>
      <c r="C266" t="inlineStr">
        <is>
          <t>undetermined</t>
        </is>
      </c>
      <c r="E266" t="inlineStr">
        <is>
          <t>來源頁看不到刀片直徑；產品線判不出（來源頁看不出有沒有滑軌）</t>
        </is>
      </c>
      <c r="F266" t="inlineStr">
        <is>
          <t>https://www.manomano.es/p/sierra-de-cinta-holzmann-hbs-245hq-33445477</t>
        </is>
      </c>
      <c r="G266" t="inlineStr">
        <is>
          <t>ES</t>
        </is>
      </c>
    </row>
    <row r="267">
      <c r="A267" t="inlineStr">
        <is>
          <t>Holzmann</t>
        </is>
      </c>
      <c r="B267" t="inlineStr">
        <is>
          <t>KAP305</t>
        </is>
      </c>
      <c r="C267" t="inlineStr">
        <is>
          <t>compound</t>
        </is>
      </c>
      <c r="D267" t="n">
        <v>305</v>
      </c>
      <c r="E267" t="inlineStr">
        <is>
          <t>刀片直徑不在 222～267 mm</t>
        </is>
      </c>
      <c r="F267" t="inlineStr">
        <is>
          <t>https://www.hornbach.nl/p/holzmann-afkort-verstekzaag-kap305-230v/12556706/</t>
        </is>
      </c>
      <c r="G267" t="inlineStr">
        <is>
          <t>NL</t>
        </is>
      </c>
    </row>
    <row r="268">
      <c r="A268" t="inlineStr">
        <is>
          <t>Holzmann</t>
        </is>
      </c>
      <c r="B268" t="inlineStr">
        <is>
          <t>KAP305ECO</t>
        </is>
      </c>
      <c r="C268" t="inlineStr">
        <is>
          <t>compound</t>
        </is>
      </c>
      <c r="D268" t="n">
        <v>305</v>
      </c>
      <c r="E268" t="inlineStr">
        <is>
          <t>刀片直徑不在 222～267 mm</t>
        </is>
      </c>
      <c r="F268" t="inlineStr">
        <is>
          <t>https://www.hornbach.at/p/kapp-und-gehrungssaege-holzmann-maschinen-kap305eco-2000-w-230-v/12556706/</t>
        </is>
      </c>
      <c r="G268" t="inlineStr">
        <is>
          <t>AT</t>
        </is>
      </c>
    </row>
    <row r="269">
      <c r="A269" t="inlineStr">
        <is>
          <t>Holzmann</t>
        </is>
      </c>
      <c r="B269" t="inlineStr">
        <is>
          <t>KAP305JL</t>
        </is>
      </c>
      <c r="C269" t="inlineStr">
        <is>
          <t>sliding</t>
        </is>
      </c>
      <c r="D269" t="n">
        <v>305</v>
      </c>
      <c r="E269" t="inlineStr">
        <is>
          <t>刀片直徑不在 222～267 mm</t>
        </is>
      </c>
      <c r="F269" t="inlineStr">
        <is>
          <t>https://www.hornbach.de/p/zug-kapp-und-gehrungssaege-holzmann-kap305jl-inkl-kreissaegeblatt/5596268/</t>
        </is>
      </c>
      <c r="G269" t="inlineStr">
        <is>
          <t>DE</t>
        </is>
      </c>
    </row>
    <row r="270">
      <c r="A270" t="inlineStr">
        <is>
          <t>Holzmann</t>
        </is>
      </c>
      <c r="B270" t="inlineStr">
        <is>
          <t>MKS180</t>
        </is>
      </c>
      <c r="C270" t="inlineStr">
        <is>
          <t>compound</t>
        </is>
      </c>
      <c r="D270" t="n">
        <v>180</v>
      </c>
      <c r="E270" t="inlineStr">
        <is>
          <t>刀片直徑不在 222～267 mm</t>
        </is>
      </c>
      <c r="F270" t="inlineStr">
        <is>
          <t>https://www.hornbach.nl/p/holzmann-metaal-afkortzaag-mks180-230v/5608441/</t>
        </is>
      </c>
      <c r="G270" t="inlineStr">
        <is>
          <t>NL</t>
        </is>
      </c>
    </row>
    <row r="271">
      <c r="A271" t="inlineStr">
        <is>
          <t>Holzmann</t>
        </is>
      </c>
      <c r="B271" t="inlineStr">
        <is>
          <t>TK255MS</t>
        </is>
      </c>
      <c r="C271" t="inlineStr">
        <is>
          <t>table</t>
        </is>
      </c>
      <c r="E271" t="inlineStr">
        <is>
          <t>來源頁看不到刀片直徑</t>
        </is>
      </c>
      <c r="F271" t="inlineStr">
        <is>
          <t>https://www.galaxus.nl/nl/s4/product/holzmann-tk255ms-tafelcirkelzaagbasis-tafelcirkelzagen-8450334</t>
        </is>
      </c>
      <c r="G271" t="inlineStr">
        <is>
          <t>NL</t>
        </is>
      </c>
    </row>
    <row r="272">
      <c r="A272" t="inlineStr">
        <is>
          <t>Holzmann</t>
        </is>
      </c>
      <c r="B272" t="inlineStr">
        <is>
          <t>TK305_230V</t>
        </is>
      </c>
      <c r="C272" t="inlineStr">
        <is>
          <t>compound</t>
        </is>
      </c>
      <c r="D272" t="n">
        <v>305</v>
      </c>
      <c r="E272" t="inlineStr">
        <is>
          <t>刀片直徑不在 222～267 mm；複合機（翻轉鋸或上方附台的斜切鋸）不收</t>
        </is>
      </c>
      <c r="F272" t="inlineStr">
        <is>
          <t>https://www.castorama.fr/departments/holzmann-scie-onglet-avec-table-superieur-2000w-230v/9120058371615_CAFR.prd</t>
        </is>
      </c>
      <c r="G272" t="inlineStr">
        <is>
          <t>FR</t>
        </is>
      </c>
    </row>
    <row r="273">
      <c r="A273" t="inlineStr">
        <is>
          <t>Holzmann</t>
        </is>
      </c>
      <c r="B273" t="inlineStr">
        <is>
          <t>TKS500S</t>
        </is>
      </c>
      <c r="C273" t="inlineStr">
        <is>
          <t>table</t>
        </is>
      </c>
      <c r="D273" t="n">
        <v>500</v>
      </c>
      <c r="E273" t="inlineStr">
        <is>
          <t>刀片直徑不在 222～267 mm</t>
        </is>
      </c>
      <c r="F273" t="inlineStr">
        <is>
          <t>https://www.hornbach.de/p/tischkreissaege-holzmann-maschinen-tks500s-o-500-mm-4200-w-400-v/12556701/</t>
        </is>
      </c>
      <c r="G273" t="inlineStr">
        <is>
          <t>DE</t>
        </is>
      </c>
    </row>
    <row r="274">
      <c r="A274" t="inlineStr">
        <is>
          <t>Holzmann</t>
        </is>
      </c>
      <c r="B274" t="inlineStr">
        <is>
          <t>TS 200</t>
        </is>
      </c>
      <c r="C274" t="inlineStr">
        <is>
          <t>table</t>
        </is>
      </c>
      <c r="D274" t="n">
        <v>200</v>
      </c>
      <c r="E274" t="inlineStr">
        <is>
          <t>刀片直徑不在 222～267 mm</t>
        </is>
      </c>
      <c r="F274" t="inlineStr">
        <is>
          <t>https://www.hornbach.de/p/tischkreissaege-holzmann-maschinen-ts-200-230v/5646403/</t>
        </is>
      </c>
      <c r="G274" t="inlineStr">
        <is>
          <t>DE</t>
        </is>
      </c>
    </row>
    <row r="275">
      <c r="A275" t="inlineStr">
        <is>
          <t>Holzmann</t>
        </is>
      </c>
      <c r="B275" t="inlineStr">
        <is>
          <t>TS 250F-1600</t>
        </is>
      </c>
      <c r="C275" t="inlineStr">
        <is>
          <t>table</t>
        </is>
      </c>
      <c r="D275" t="n">
        <v>250</v>
      </c>
      <c r="E275" t="inlineStr">
        <is>
          <t>spec 排除：industrial format panel saw (Formatkreissäge)</t>
        </is>
      </c>
      <c r="F275" t="inlineStr">
        <is>
          <t>https://www.obi.at/p/3436524/holzmann-formatkreissaege-400-v-ts-250f-1600</t>
        </is>
      </c>
      <c r="G275" t="inlineStr">
        <is>
          <t>AT</t>
        </is>
      </c>
    </row>
    <row r="276">
      <c r="A276" t="inlineStr">
        <is>
          <t>Holzmann</t>
        </is>
      </c>
      <c r="B276" t="inlineStr">
        <is>
          <t>TS315F1600</t>
        </is>
      </c>
      <c r="C276" t="inlineStr">
        <is>
          <t>table</t>
        </is>
      </c>
      <c r="D276" t="n">
        <v>315</v>
      </c>
      <c r="E276" t="inlineStr">
        <is>
          <t>刀片直徑不在 222～267 mm</t>
        </is>
      </c>
      <c r="F276" t="inlineStr">
        <is>
          <t>https://www.hornbach.at/p/formatkreissaege-holzmann-ts315f1600-400v-inkl-formattisch/10505864/</t>
        </is>
      </c>
      <c r="G276" t="inlineStr">
        <is>
          <t>AT</t>
        </is>
      </c>
    </row>
    <row r="277">
      <c r="A277" t="inlineStr">
        <is>
          <t>Holzstar</t>
        </is>
      </c>
      <c r="B277" t="inlineStr">
        <is>
          <t>KGZ 210 E</t>
        </is>
      </c>
      <c r="C277" t="inlineStr">
        <is>
          <t>sliding</t>
        </is>
      </c>
      <c r="E277" t="inlineStr">
        <is>
          <t>來源頁看不到刀片直徑；交期 10 天以上（Del 2 de nov. al 2 de dic. -）</t>
        </is>
      </c>
      <c r="F277" t="inlineStr">
        <is>
          <t>https://www.manomano.es/p/ingletadora-kgz-255-e-11429596</t>
        </is>
      </c>
      <c r="G277" t="inlineStr">
        <is>
          <t>ES</t>
        </is>
      </c>
    </row>
    <row r="278">
      <c r="A278" t="inlineStr">
        <is>
          <t>Hyundai</t>
        </is>
      </c>
      <c r="B278" t="inlineStr"/>
      <c r="C278" t="inlineStr">
        <is>
          <t>undetermined</t>
        </is>
      </c>
      <c r="E278" t="inlineStr">
        <is>
          <t>來源頁看不到型號；來源頁看不到刀片直徑；產品線判不出（來源頁看不出有沒有滑軌）；沒有可用的含稅售價</t>
        </is>
      </c>
      <c r="F278" t="inlineStr">
        <is>
          <t>https://www.praxis.nl/gereedschap-werkplaats/verbruiksartikelen-accessoires-voor-elektrisch-gereedschap/steunen-geleiders-voor-zaagmachines/hyundai-onderstel-voor-afkortzaag-56293-10kg/10366433</t>
        </is>
      </c>
      <c r="G278" t="inlineStr">
        <is>
          <t>NL</t>
        </is>
      </c>
    </row>
    <row r="279">
      <c r="A279" t="inlineStr">
        <is>
          <t>Hyundai</t>
        </is>
      </c>
      <c r="B279" t="inlineStr"/>
      <c r="C279" t="inlineStr">
        <is>
          <t>table</t>
        </is>
      </c>
      <c r="D279" t="n">
        <v>254</v>
      </c>
      <c r="E279" t="inlineStr">
        <is>
          <t>來源頁看不到型號</t>
        </is>
      </c>
      <c r="F279" t="inlineStr">
        <is>
          <t>https://www.amazon.ie/Hyundai-1800W-Electric-Table-Warranty/dp/B09VY68VC8/ref=sr_1_1?dib=eyJ2IjoiMSJ9.xscnU1bpAzj-twxiMd1XR6YNSl-XpqH0XQE7RKWk61SuYwULZEE5ijURgHQijFg-mZopG85WPivdEXVm_x0L-32Mvbp03a7IzTNGJO7o-kfD41AYLW_nBgZaTp6aI8iGAHaOzV1g5TgT8qmkdp5U_RUc64SGZ8QqJNlo1xRlc45nP6lNd5ixNXqIiAQbeUVAQVHZHL8l5ksf9lDVepobIHRhW_SWYbLmBMqtS2m3layDn4PrhUr4pctvKMdFOyx8thWxQ1iYMwB7XCBsa3vOrmwGvjXH3hDck0hw8dTx7mA.NM_aweXK58eUegPdv9CDEfZgFSQmYv73SWD1p_rkHe0&amp;dib_tag=se&amp;keywords=table+saw&amp;qid=1792548246&amp;sr=8-1</t>
        </is>
      </c>
      <c r="G279" t="inlineStr">
        <is>
          <t>IE</t>
        </is>
      </c>
    </row>
    <row r="280">
      <c r="A280" t="inlineStr">
        <is>
          <t>JET</t>
        </is>
      </c>
      <c r="B280" t="inlineStr">
        <is>
          <t>JSMS 10L</t>
        </is>
      </c>
      <c r="C280" t="inlineStr">
        <is>
          <t>compound</t>
        </is>
      </c>
      <c r="D280" t="n">
        <v>254</v>
      </c>
      <c r="E280" t="inlineStr">
        <is>
          <t>交期 10 天以上（Chez vous dès lundi 2 novembre）</t>
        </is>
      </c>
      <c r="F280" t="inlineStr">
        <is>
          <t>https://www.cdiscount.com/bricolage/outillage/jet-scie-a-onglet-a-lame-carbure-254-mm-laser/f-166010106-jet7612375700718.html</t>
        </is>
      </c>
      <c r="G280" t="inlineStr">
        <is>
          <t>FR</t>
        </is>
      </c>
    </row>
    <row r="281">
      <c r="A281" t="inlineStr">
        <is>
          <t>KATSU Tools</t>
        </is>
      </c>
      <c r="B281" t="inlineStr">
        <is>
          <t>101513</t>
        </is>
      </c>
      <c r="C281" t="inlineStr">
        <is>
          <t>sliding</t>
        </is>
      </c>
      <c r="D281" t="n">
        <v>255</v>
      </c>
      <c r="E281" t="inlineStr">
        <is>
          <t>找不到經目視確認、對應這台機器的商品圖：Amazon.ie 存檔沒有可用的商品圖網址；下一輪補圖（2026-10-21）</t>
        </is>
      </c>
      <c r="F281" t="inlineStr">
        <is>
          <t>https://www.amazon.ie/Mitre-Saw-KATSU-255mm-Multi-Purpose/dp/B08Y97TNFT/ref=sr_1_28?dib=eyJ2IjoiMSJ9.TulXaFmEdTnntGLeLdB9net3eIsTF598_5whrLCCTV1BAt27RXtsA_cScQAmxCzVnLgzk4kzCRALtyNRS81jU76CLwzQQM5Ib3s2JpMObE-IAikx3kEV808HEECUPkAG2IY9WH3yE4Zb83YGdiSoGxeJY3D8mLeZzbs3akLyCDMh4HDd4ojlRWpXVc9VKA3n8z_3hgwvaVp9OvxGXtQEq34mvdPUrnh1M999tPrTdPoUZjK3DBgDCsD9yNbxHVzInA_GHdPoqjfqb88lHlAvf9ggFizA3gZNEY3U0EaYI7s.MM8FmEOE3veNdpIXf8tjk9KWLsZ5VDIhIh5-iVwmWAg&amp;dib_tag=se&amp;keywords=mitre+saw&amp;qid=1792548246&amp;sr=8-28</t>
        </is>
      </c>
      <c r="G281" t="inlineStr">
        <is>
          <t>IE</t>
        </is>
      </c>
    </row>
    <row r="282">
      <c r="A282" t="inlineStr">
        <is>
          <t>KL Pro</t>
        </is>
      </c>
      <c r="B282" t="inlineStr">
        <is>
          <t>KLGK1512</t>
        </is>
      </c>
      <c r="C282" t="inlineStr">
        <is>
          <t>compound</t>
        </is>
      </c>
      <c r="D282" t="n">
        <v>255</v>
      </c>
      <c r="E282" t="inlineStr">
        <is>
          <t>複合機（翻轉鋸或上方附台的斜切鋸）不收</t>
        </is>
      </c>
      <c r="F282" t="inlineStr">
        <is>
          <t>https://www.hepsiburada.com/kl-pro-klgk1512-elektrikli-gonye-kesme-1900-w-255-mm-pm-HBC00009KWQGM</t>
        </is>
      </c>
      <c r="G282" t="inlineStr">
        <is>
          <t>TR</t>
        </is>
      </c>
    </row>
    <row r="283">
      <c r="A283" t="inlineStr">
        <is>
          <t>KL Pro</t>
        </is>
      </c>
      <c r="B283" t="inlineStr">
        <is>
          <t>KLGK255</t>
        </is>
      </c>
      <c r="C283" t="inlineStr">
        <is>
          <t>compound</t>
        </is>
      </c>
      <c r="D283" t="n">
        <v>255</v>
      </c>
      <c r="E283" t="inlineStr">
        <is>
          <t>複合機（翻轉鋸或上方附台的斜切鋸）不收</t>
        </is>
      </c>
      <c r="F283" t="inlineStr">
        <is>
          <t>https://www.idefix.com/klpro-klgk255-2000w-255mm-ustten-tablali-gonye-kesme-makinesi-p-21054017</t>
        </is>
      </c>
      <c r="G283" t="inlineStr">
        <is>
          <t>TR</t>
        </is>
      </c>
    </row>
    <row r="284">
      <c r="A284" t="inlineStr">
        <is>
          <t>Lescha</t>
        </is>
      </c>
      <c r="B284" t="inlineStr">
        <is>
          <t>CBL 450 DS</t>
        </is>
      </c>
      <c r="C284" t="inlineStr">
        <is>
          <t>table</t>
        </is>
      </c>
      <c r="D284" t="n">
        <v>450</v>
      </c>
      <c r="E284" t="inlineStr">
        <is>
          <t>刀片直徑不在 222～267 mm</t>
        </is>
      </c>
      <c r="F284" t="inlineStr">
        <is>
          <t>https://www.hornbach.de/p/baukreissaege-lescha-cbl-450-ds-4400w/5813498/</t>
        </is>
      </c>
      <c r="G284" t="inlineStr">
        <is>
          <t>DE</t>
        </is>
      </c>
    </row>
    <row r="285">
      <c r="A285" t="inlineStr">
        <is>
          <t>Lescha</t>
        </is>
      </c>
      <c r="B285" t="inlineStr">
        <is>
          <t>CBL 450 WS</t>
        </is>
      </c>
      <c r="C285" t="inlineStr">
        <is>
          <t>table</t>
        </is>
      </c>
      <c r="D285" t="n">
        <v>450</v>
      </c>
      <c r="E285" t="inlineStr">
        <is>
          <t>刀片直徑不在 222～267 mm；交期 10 天以上（Lieferzeit ca. 2-3 Wochen）</t>
        </is>
      </c>
      <c r="F285" t="inlineStr">
        <is>
          <t>https://www.hornbach.de/p/baukreissaege-lescha-cbl-450-ws-3000w/5813497/</t>
        </is>
      </c>
      <c r="G285" t="inlineStr">
        <is>
          <t>DE</t>
        </is>
      </c>
    </row>
    <row r="286">
      <c r="A286" t="inlineStr">
        <is>
          <t>Lescha</t>
        </is>
      </c>
      <c r="B286" t="inlineStr">
        <is>
          <t>TSL 315</t>
        </is>
      </c>
      <c r="C286" t="inlineStr">
        <is>
          <t>table</t>
        </is>
      </c>
      <c r="D286" t="n">
        <v>315</v>
      </c>
      <c r="E286" t="inlineStr">
        <is>
          <t>刀片直徑不在 222～267 mm</t>
        </is>
      </c>
      <c r="F286" t="inlineStr">
        <is>
          <t>https://www.hornbach.ch/de/p/lescha-tischkreissaege-tsl-315-3300-w-vormontiert/6047289/</t>
        </is>
      </c>
      <c r="G286" t="inlineStr">
        <is>
          <t>CH</t>
        </is>
      </c>
    </row>
    <row r="287">
      <c r="A287" t="inlineStr">
        <is>
          <t>Lumberjack</t>
        </is>
      </c>
      <c r="B287" t="inlineStr"/>
      <c r="C287" t="inlineStr">
        <is>
          <t>sliding</t>
        </is>
      </c>
      <c r="D287" t="n">
        <v>305</v>
      </c>
      <c r="E287" t="inlineStr">
        <is>
          <t>來源頁看不到型號；刀片直徑不在 222～267 mm；只有缺貨的價格</t>
        </is>
      </c>
      <c r="F287" t="inlineStr">
        <is>
          <t>https://www.lumberjacktools.co.uk/mitre-saws/lumberjack-12-compound-sliding-mitre-saw-double-bevel-chop/p-lum00001</t>
        </is>
      </c>
      <c r="G287" t="inlineStr">
        <is>
          <t>GB</t>
        </is>
      </c>
    </row>
    <row r="288">
      <c r="A288" t="inlineStr">
        <is>
          <t>Lumberjack</t>
        </is>
      </c>
      <c r="B288" t="inlineStr">
        <is>
          <t>SCMS210SB</t>
        </is>
      </c>
      <c r="C288" t="inlineStr">
        <is>
          <t>sliding</t>
        </is>
      </c>
      <c r="D288" t="n">
        <v>203</v>
      </c>
      <c r="E288" t="inlineStr">
        <is>
          <t>刀片直徑不在 222～267 mm；只有缺貨的價格</t>
        </is>
      </c>
      <c r="F288" t="inlineStr">
        <is>
          <t>https://www.lumberjacktools.co.uk/mitre-saws/lumberjack-8-compound-sliding-mitre-saw-single-bevel/p-lum00015</t>
        </is>
      </c>
      <c r="G288" t="inlineStr">
        <is>
          <t>GB</t>
        </is>
      </c>
    </row>
    <row r="289">
      <c r="A289" t="inlineStr">
        <is>
          <t>Lumberjack</t>
        </is>
      </c>
      <c r="B289" t="inlineStr">
        <is>
          <t>SCMS254SB</t>
        </is>
      </c>
      <c r="C289" t="inlineStr">
        <is>
          <t>sliding</t>
        </is>
      </c>
      <c r="D289" t="n">
        <v>254</v>
      </c>
      <c r="E289" t="inlineStr">
        <is>
          <t>只有缺貨的價格</t>
        </is>
      </c>
      <c r="F289" t="inlineStr">
        <is>
          <t>https://www.lumberjacktools.co.uk/mitre-saws/lumberjack-10-compound-sliding-mitre-saw-single-bevel/p-lum00132</t>
        </is>
      </c>
      <c r="G289" t="inlineStr">
        <is>
          <t>GB</t>
        </is>
      </c>
    </row>
    <row r="290">
      <c r="A290" t="inlineStr">
        <is>
          <t>Lumberjack</t>
        </is>
      </c>
      <c r="B290" t="inlineStr">
        <is>
          <t>TS254SL</t>
        </is>
      </c>
      <c r="C290" t="inlineStr">
        <is>
          <t>table</t>
        </is>
      </c>
      <c r="D290" t="n">
        <v>254</v>
      </c>
      <c r="E290" t="inlineStr">
        <is>
          <t>只有缺貨的價格</t>
        </is>
      </c>
      <c r="F290" t="inlineStr">
        <is>
          <t>https://www.lumberjacktools.co.uk/table-saws/lumberjack-powerful-1800w-table-saw-254mm-side-extensions-10-blade-48t-240v/p-lum00115</t>
        </is>
      </c>
      <c r="G290" t="inlineStr">
        <is>
          <t>GB</t>
        </is>
      </c>
    </row>
    <row r="291">
      <c r="A291" t="inlineStr">
        <is>
          <t>LUX-TOOLS</t>
        </is>
      </c>
      <c r="B291" t="inlineStr"/>
      <c r="C291" t="inlineStr">
        <is>
          <t>undetermined</t>
        </is>
      </c>
      <c r="E291" t="inlineStr">
        <is>
          <t>來源頁看不到型號；來源頁看不到刀片直徑；產品線判不出（來源頁看不出有沒有滑軌）；沒有可用的含稅售價</t>
        </is>
      </c>
      <c r="F291" t="inlineStr">
        <is>
          <t>https://www.obi.at/p/4946471/lux-tools-hm-kreissaegeblatt-holz-250-mm-80-zaehne</t>
        </is>
      </c>
      <c r="G291" t="inlineStr">
        <is>
          <t>AT</t>
        </is>
      </c>
    </row>
    <row r="292">
      <c r="A292" t="inlineStr">
        <is>
          <t>Mafell</t>
        </is>
      </c>
      <c r="B292" t="inlineStr">
        <is>
          <t>ERIKA 60</t>
        </is>
      </c>
      <c r="C292" t="inlineStr">
        <is>
          <t>table</t>
        </is>
      </c>
      <c r="D292" t="n">
        <v>190</v>
      </c>
      <c r="E292" t="inlineStr">
        <is>
          <t>刀片直徑不在 222～267 mm</t>
        </is>
      </c>
      <c r="F292" t="inlineStr">
        <is>
          <t>https://www.hornbach.de/p/mafell-erika-60-unterflurzugsaege-zugsaege-tischkreissaege-kreissaege-kappsaege-saege/12870270/</t>
        </is>
      </c>
      <c r="G292" t="inlineStr">
        <is>
          <t>DE</t>
        </is>
      </c>
    </row>
    <row r="293">
      <c r="A293" t="inlineStr">
        <is>
          <t>Mafell</t>
        </is>
      </c>
      <c r="B293" t="inlineStr">
        <is>
          <t>ERIKA 70</t>
        </is>
      </c>
      <c r="C293" t="inlineStr">
        <is>
          <t>table</t>
        </is>
      </c>
      <c r="D293" t="n">
        <v>225</v>
      </c>
      <c r="E293" t="inlineStr">
        <is>
          <t>複合機（翻轉鋸或上方附台的斜切鋸）不收</t>
        </is>
      </c>
      <c r="F293" t="inlineStr">
        <is>
          <t>https://www.sautershop-de.com/en-int/mafell-erika-70-push-pull-saw-maf-972001</t>
        </is>
      </c>
      <c r="G293" t="inlineStr">
        <is>
          <t>DE</t>
        </is>
      </c>
    </row>
    <row r="294">
      <c r="A294" t="inlineStr">
        <is>
          <t>Mafell</t>
        </is>
      </c>
      <c r="B294" t="inlineStr">
        <is>
          <t>ERIKA 85</t>
        </is>
      </c>
      <c r="C294" t="inlineStr">
        <is>
          <t>table</t>
        </is>
      </c>
      <c r="D294" t="n">
        <v>250</v>
      </c>
      <c r="E294" t="inlineStr">
        <is>
          <t>複合機（翻轉鋸或上方附台的斜切鋸）不收</t>
        </is>
      </c>
      <c r="F294" t="inlineStr">
        <is>
          <t>https://www.hornbach.de/p/mafell-erika-85-unterflurzugsaege-zugsaege-tischkreissaege-kreissaege-inkl-hoodie/12855629/</t>
        </is>
      </c>
      <c r="G294" t="inlineStr">
        <is>
          <t>DE</t>
        </is>
      </c>
    </row>
    <row r="295">
      <c r="A295" t="inlineStr">
        <is>
          <t>Mafell</t>
        </is>
      </c>
      <c r="B295" t="inlineStr">
        <is>
          <t>KSS 60 cc</t>
        </is>
      </c>
      <c r="C295" t="inlineStr">
        <is>
          <t>undetermined</t>
        </is>
      </c>
      <c r="E295" t="inlineStr">
        <is>
          <t>來源頁看不到刀片直徑；產品線判不出（來源頁看不出有沒有滑軌）</t>
        </is>
      </c>
      <c r="F295" t="inlineStr">
        <is>
          <t>https://www.galaxus.nl/nl/s4/product/mafell-afkortzaag-kss-60-cc-in-koffer-tk-radiale-snijders-32295064</t>
        </is>
      </c>
      <c r="G295" t="inlineStr">
        <is>
          <t>NL</t>
        </is>
      </c>
    </row>
    <row r="296">
      <c r="A296" t="inlineStr">
        <is>
          <t>Mafell</t>
        </is>
      </c>
      <c r="B296" t="inlineStr">
        <is>
          <t>KSS300</t>
        </is>
      </c>
      <c r="C296" t="inlineStr">
        <is>
          <t>undetermined</t>
        </is>
      </c>
      <c r="E296" t="inlineStr">
        <is>
          <t>來源頁看不到刀片直徑；產品線判不出（來源頁看不出有沒有滑軌）</t>
        </is>
      </c>
      <c r="F296" t="inlineStr">
        <is>
          <t>https://www.galaxus.nl/nl/s4/product/mafell-916702-kss300-maximax-afkortzaag-in-t-max-handcirkelzaag-32615564</t>
        </is>
      </c>
      <c r="G296" t="inlineStr">
        <is>
          <t>NL</t>
        </is>
      </c>
    </row>
    <row r="297">
      <c r="A297" t="inlineStr">
        <is>
          <t>Mafell</t>
        </is>
      </c>
      <c r="B297" t="inlineStr">
        <is>
          <t>KSS50 18M bl</t>
        </is>
      </c>
      <c r="C297" t="inlineStr">
        <is>
          <t>undetermined</t>
        </is>
      </c>
      <c r="E297" t="inlineStr">
        <is>
          <t>來源頁看不到刀片直徑；產品線判不出（來源頁看不出有沒有滑軌）</t>
        </is>
      </c>
      <c r="F297" t="inlineStr">
        <is>
          <t>https://www.galaxus.nl/nl/s4/product/mafell-accu-afkortzaag-kss50-18m-bl-in-draagkoffer-handcirkelzaag-23477871</t>
        </is>
      </c>
      <c r="G297" t="inlineStr">
        <is>
          <t>NL</t>
        </is>
      </c>
    </row>
    <row r="298">
      <c r="A298" t="inlineStr">
        <is>
          <t>Mafell</t>
        </is>
      </c>
      <c r="B298" t="inlineStr">
        <is>
          <t>KSS50 18M bl PURE</t>
        </is>
      </c>
      <c r="C298" t="inlineStr">
        <is>
          <t>undetermined</t>
        </is>
      </c>
      <c r="E298" t="inlineStr">
        <is>
          <t>來源頁看不到刀片直徑；產品線判不出（來源頁看不出有沒有滑軌）</t>
        </is>
      </c>
      <c r="F298" t="inlineStr">
        <is>
          <t>https://www.galaxus.nl/nl/s4/product/mafell-accu-afkortzaag-kss50-18m-bl-pure-in-transportkoffer-zonder-accuoplader-handcirkelzaag-32295062</t>
        </is>
      </c>
      <c r="G298" t="inlineStr">
        <is>
          <t>NL</t>
        </is>
      </c>
    </row>
    <row r="299">
      <c r="A299" t="inlineStr">
        <is>
          <t>Makita</t>
        </is>
      </c>
      <c r="B299" t="inlineStr"/>
      <c r="C299" t="inlineStr">
        <is>
          <t>sliding</t>
        </is>
      </c>
      <c r="D299" t="n">
        <v>260</v>
      </c>
      <c r="E299" t="inlineStr">
        <is>
          <t>來源頁看不到型號</t>
        </is>
      </c>
      <c r="F299" t="inlineStr">
        <is>
          <t>https://www.monter.no/verktoy/el-verktoy/sag/kapp-og-gjarsag/kapp--og-gjarsag-40v-260-mm</t>
        </is>
      </c>
      <c r="G299" t="inlineStr">
        <is>
          <t>NO</t>
        </is>
      </c>
    </row>
    <row r="300">
      <c r="A300" t="inlineStr">
        <is>
          <t>Makita</t>
        </is>
      </c>
      <c r="B300" t="inlineStr"/>
      <c r="C300" t="inlineStr">
        <is>
          <t>table</t>
        </is>
      </c>
      <c r="D300" t="n">
        <v>260</v>
      </c>
      <c r="E300" t="inlineStr">
        <is>
          <t>來源頁看不到型號</t>
        </is>
      </c>
      <c r="F300" t="inlineStr">
        <is>
          <t>https://www.hornbach.de/p/tischkreissaege-makita-inkl-untergestell-und-saegeblatt-260x30mm/10174066/</t>
        </is>
      </c>
      <c r="G300" t="inlineStr">
        <is>
          <t>DE</t>
        </is>
      </c>
    </row>
    <row r="301">
      <c r="A301" t="inlineStr">
        <is>
          <t>Makita</t>
        </is>
      </c>
      <c r="B301" t="inlineStr">
        <is>
          <t>DJR189Z</t>
        </is>
      </c>
      <c r="C301" t="inlineStr">
        <is>
          <t>undetermined</t>
        </is>
      </c>
      <c r="E301" t="inlineStr">
        <is>
          <t>來源頁看不到刀片直徑；產品線判不出（來源頁看不出有沒有滑軌）</t>
        </is>
      </c>
      <c r="F301" t="inlineStr">
        <is>
          <t>https://mokivezi.lt/1104268-akumuliatorinis-tiesinis-pjuklas-makita-djr189z-18-v-be-akumuliatoriu-ir-kroviklio</t>
        </is>
      </c>
      <c r="G301" t="inlineStr">
        <is>
          <t>LT</t>
        </is>
      </c>
    </row>
    <row r="302">
      <c r="A302" t="inlineStr">
        <is>
          <t>Makita</t>
        </is>
      </c>
      <c r="B302" t="inlineStr">
        <is>
          <t>DLS 713</t>
        </is>
      </c>
      <c r="C302" t="inlineStr">
        <is>
          <t>compound</t>
        </is>
      </c>
      <c r="E302" t="inlineStr">
        <is>
          <t>來源頁看不到刀片直徑；交期 10 天以上（Livré entre mar, 3/11 et jeu, 12/11）</t>
        </is>
      </c>
      <c r="F302" t="inlineStr">
        <is>
          <t>https://www.galaxus.be/fr/s4/product/makita-dls-713-scie-a-onglet-13242202</t>
        </is>
      </c>
      <c r="G302" t="inlineStr">
        <is>
          <t>BE</t>
        </is>
      </c>
    </row>
    <row r="303">
      <c r="A303" t="inlineStr">
        <is>
          <t>Makita</t>
        </is>
      </c>
      <c r="B303" t="inlineStr">
        <is>
          <t>DLS211ZU</t>
        </is>
      </c>
      <c r="C303" t="inlineStr">
        <is>
          <t>undetermined</t>
        </is>
      </c>
      <c r="D303" t="n">
        <v>305</v>
      </c>
      <c r="E303" t="inlineStr">
        <is>
          <t>刀片直徑不在 222～267 mm；產品線判不出（來源頁看不出有沒有滑軌）</t>
        </is>
      </c>
      <c r="F303" t="inlineStr">
        <is>
          <t>https://www.hornbach.de/p/akku-kapp-gehrungssaege-makita-dls211zu-2x18-v-ohne-akku-und-ladegeraet-inkl-saegeblatt-o305x30mm/10186688/</t>
        </is>
      </c>
      <c r="G303" t="inlineStr">
        <is>
          <t>DE</t>
        </is>
      </c>
    </row>
    <row r="304">
      <c r="A304" t="inlineStr">
        <is>
          <t>Makita</t>
        </is>
      </c>
      <c r="B304" t="inlineStr">
        <is>
          <t>DLS600</t>
        </is>
      </c>
      <c r="C304" t="inlineStr">
        <is>
          <t>compound</t>
        </is>
      </c>
      <c r="D304" t="n">
        <v>165</v>
      </c>
      <c r="E304" t="inlineStr">
        <is>
          <t>刀片直徑不在 222～267 mm</t>
        </is>
      </c>
      <c r="F304" t="inlineStr">
        <is>
          <t>https://www.bauhaus.es/tronzadoras-e-ingletadoras/makita-lxt-18v-ingletadora-de-bateria-dls600/p/26212379</t>
        </is>
      </c>
      <c r="G304" t="inlineStr">
        <is>
          <t>ES</t>
        </is>
      </c>
    </row>
    <row r="305">
      <c r="A305" t="inlineStr">
        <is>
          <t>Makita</t>
        </is>
      </c>
      <c r="B305" t="inlineStr">
        <is>
          <t>DLS600Z</t>
        </is>
      </c>
      <c r="C305" t="inlineStr">
        <is>
          <t>compound</t>
        </is>
      </c>
      <c r="E305" t="inlineStr">
        <is>
          <t>來源頁看不到刀片直徑</t>
        </is>
      </c>
      <c r="F305" t="inlineStr">
        <is>
          <t>https://www.toolstation.be/makita-dls600z-accu-afkort-verstekzaagmachine-body/p18381</t>
        </is>
      </c>
      <c r="G305" t="inlineStr">
        <is>
          <t>BE</t>
        </is>
      </c>
    </row>
    <row r="306">
      <c r="A306" t="inlineStr">
        <is>
          <t>Makita</t>
        </is>
      </c>
      <c r="B306" t="inlineStr">
        <is>
          <t>DLS713NZ</t>
        </is>
      </c>
      <c r="C306" t="inlineStr">
        <is>
          <t>sliding</t>
        </is>
      </c>
      <c r="D306" t="n">
        <v>190</v>
      </c>
      <c r="E306" t="inlineStr">
        <is>
          <t>刀片直徑不在 222～267 mm</t>
        </is>
      </c>
      <c r="F306" t="inlineStr">
        <is>
          <t>https://www.hornbach.de/p/akku-kapp-und-gehrungssaege-makita-dls713nz-18v-ohne-akku-und-ladegeraet/10139251/</t>
        </is>
      </c>
      <c r="G306" t="inlineStr">
        <is>
          <t>DE</t>
        </is>
      </c>
    </row>
    <row r="307">
      <c r="A307" t="inlineStr">
        <is>
          <t>Makita</t>
        </is>
      </c>
      <c r="B307" t="inlineStr">
        <is>
          <t>DLS714NZ</t>
        </is>
      </c>
      <c r="C307" t="inlineStr">
        <is>
          <t>sliding</t>
        </is>
      </c>
      <c r="D307" t="n">
        <v>190</v>
      </c>
      <c r="E307" t="inlineStr">
        <is>
          <t>刀片直徑不在 222～267 mm</t>
        </is>
      </c>
      <c r="F307" t="inlineStr">
        <is>
          <t>https://www.hornbach.de/p/zug-kapp-gehrungssaege-makita-dls714nz-2x18-v-ohne-akku-und-ladegeraet/10133583/</t>
        </is>
      </c>
      <c r="G307" t="inlineStr">
        <is>
          <t>DE</t>
        </is>
      </c>
    </row>
    <row r="308">
      <c r="A308" t="inlineStr">
        <is>
          <t>Makita</t>
        </is>
      </c>
      <c r="B308" t="inlineStr">
        <is>
          <t>HS7601J</t>
        </is>
      </c>
      <c r="C308" t="inlineStr">
        <is>
          <t>undetermined</t>
        </is>
      </c>
      <c r="D308" t="n">
        <v>190</v>
      </c>
      <c r="E308" t="inlineStr">
        <is>
          <t>刀片直徑不在 222～267 mm；產品線判不出（來源頁看不出有沒有滑軌）</t>
        </is>
      </c>
      <c r="F308" t="inlineStr">
        <is>
          <t>https://www.manomano.es/p/makita-scie-circulaire-1200w-lame-190x30mm-avec-coffret-hs7601j-88992085</t>
        </is>
      </c>
      <c r="G308" t="inlineStr">
        <is>
          <t>ES</t>
        </is>
      </c>
    </row>
    <row r="309">
      <c r="A309" t="inlineStr">
        <is>
          <t>Makita</t>
        </is>
      </c>
      <c r="B309" t="inlineStr">
        <is>
          <t>LF1000</t>
        </is>
      </c>
      <c r="C309" t="inlineStr">
        <is>
          <t>sliding</t>
        </is>
      </c>
      <c r="D309" t="n">
        <v>260</v>
      </c>
      <c r="E309" t="inlineStr">
        <is>
          <t>複合機（翻轉鋸或上方附台的斜切鋸）不收</t>
        </is>
      </c>
      <c r="F309" t="inlineStr">
        <is>
          <t>https://www.hornbach.lu/fr/p/scie-a-table-a-onglet-radiale-makita-lf1000-260-mm/10509078/</t>
        </is>
      </c>
      <c r="G309" t="inlineStr">
        <is>
          <t>LU</t>
        </is>
      </c>
    </row>
    <row r="310">
      <c r="A310" t="inlineStr">
        <is>
          <t>Makita</t>
        </is>
      </c>
      <c r="B310" t="inlineStr">
        <is>
          <t>LH 1201</t>
        </is>
      </c>
      <c r="C310" t="inlineStr">
        <is>
          <t>undetermined</t>
        </is>
      </c>
      <c r="E310" t="inlineStr">
        <is>
          <t>來源頁看不到刀片直徑；產品線判不出（來源頁看不出有沒有滑軌）</t>
        </is>
      </c>
      <c r="F310" t="inlineStr">
        <is>
          <t>https://www.galaxus.be/fr/s4/product/makita-lh-1201-scie-a-onglet-11482433</t>
        </is>
      </c>
      <c r="G310" t="inlineStr">
        <is>
          <t>BE</t>
        </is>
      </c>
    </row>
    <row r="311">
      <c r="A311" t="inlineStr">
        <is>
          <t>Makita</t>
        </is>
      </c>
      <c r="B311" t="inlineStr">
        <is>
          <t>LH001G</t>
        </is>
      </c>
      <c r="C311" t="inlineStr">
        <is>
          <t>undetermined</t>
        </is>
      </c>
      <c r="D311" t="n">
        <v>260</v>
      </c>
      <c r="E311" t="inlineStr">
        <is>
          <t>產品線判不出（來源頁看不出有沒有滑軌）；複合機（翻轉鋸或上方附台的斜切鋸）不收；只有缺貨的價格</t>
        </is>
      </c>
      <c r="F311" t="inlineStr">
        <is>
          <t>https://www.wowtools.co.uk/power-tools/saws/table-saws/makita-lh001g-40vmax-table-top-mitre-saw-xgt.htm</t>
        </is>
      </c>
      <c r="G311" t="inlineStr">
        <is>
          <t>GB</t>
        </is>
      </c>
    </row>
    <row r="312">
      <c r="A312" t="inlineStr">
        <is>
          <t>Makita</t>
        </is>
      </c>
      <c r="B312" t="inlineStr">
        <is>
          <t>LH1040</t>
        </is>
      </c>
      <c r="C312" t="inlineStr">
        <is>
          <t>table</t>
        </is>
      </c>
      <c r="D312" t="n">
        <v>260</v>
      </c>
      <c r="E312" t="inlineStr">
        <is>
          <t>複合機（翻轉鋸或上方附台的斜切鋸）不收</t>
        </is>
      </c>
      <c r="F312" t="inlineStr">
        <is>
          <t>https://www.manomano.de/p/makita-gehrungs-und-besaeumsaege-1650w-260mm-lh1040-34900235</t>
        </is>
      </c>
      <c r="G312" t="inlineStr">
        <is>
          <t>DE</t>
        </is>
      </c>
    </row>
    <row r="313">
      <c r="A313" t="inlineStr">
        <is>
          <t>Makita</t>
        </is>
      </c>
      <c r="B313" t="inlineStr">
        <is>
          <t>LH1040F</t>
        </is>
      </c>
      <c r="C313" t="inlineStr">
        <is>
          <t>compound</t>
        </is>
      </c>
      <c r="D313" t="n">
        <v>260</v>
      </c>
      <c r="E313" t="inlineStr">
        <is>
          <t>複合機（翻轉鋸或上方附台的斜切鋸）不收</t>
        </is>
      </c>
      <c r="F313" t="inlineStr">
        <is>
          <t>https://www.otto.de/p/makita-gehrungssaege-makita-kapp-und-gehrungssaege-260-mm-30-mm-1650-w-CS03AV093/?variationId=S03AV093TK56</t>
        </is>
      </c>
      <c r="G313" t="inlineStr">
        <is>
          <t>DE</t>
        </is>
      </c>
    </row>
    <row r="314">
      <c r="A314" t="inlineStr">
        <is>
          <t>Makita</t>
        </is>
      </c>
      <c r="B314" t="inlineStr">
        <is>
          <t>LS 002</t>
        </is>
      </c>
      <c r="C314" t="inlineStr">
        <is>
          <t>compound</t>
        </is>
      </c>
      <c r="E314" t="inlineStr">
        <is>
          <t>來源頁看不到刀片直徑</t>
        </is>
      </c>
      <c r="F314" t="inlineStr">
        <is>
          <t>https://www.galaxus.be/fr/s4/product/makita-ls-002-scie-a-onglet-15749179</t>
        </is>
      </c>
      <c r="G314" t="inlineStr">
        <is>
          <t>BE</t>
        </is>
      </c>
    </row>
    <row r="315">
      <c r="A315" t="inlineStr">
        <is>
          <t>Makita</t>
        </is>
      </c>
      <c r="B315" t="inlineStr">
        <is>
          <t>LS 0816</t>
        </is>
      </c>
      <c r="C315" t="inlineStr">
        <is>
          <t>compound</t>
        </is>
      </c>
      <c r="E315" t="inlineStr">
        <is>
          <t>來源頁看不到刀片直徑</t>
        </is>
      </c>
      <c r="F315" t="inlineStr">
        <is>
          <t>https://www.galaxus.be/fr/s4/product/makita-ls-0816-scie-a-onglet-39452072</t>
        </is>
      </c>
      <c r="G315" t="inlineStr">
        <is>
          <t>BE</t>
        </is>
      </c>
    </row>
    <row r="316">
      <c r="A316" t="inlineStr">
        <is>
          <t>Makita</t>
        </is>
      </c>
      <c r="B316" t="inlineStr">
        <is>
          <t>LS 1018</t>
        </is>
      </c>
      <c r="C316" t="inlineStr">
        <is>
          <t>compound</t>
        </is>
      </c>
      <c r="E316" t="inlineStr">
        <is>
          <t>來源頁看不到刀片直徑</t>
        </is>
      </c>
      <c r="F316" t="inlineStr">
        <is>
          <t>https://www.galaxus.be/fr/s4/product/makita-ls-1018-scie-a-onglet-8415102</t>
        </is>
      </c>
      <c r="G316" t="inlineStr">
        <is>
          <t>BE</t>
        </is>
      </c>
    </row>
    <row r="317">
      <c r="A317" t="inlineStr">
        <is>
          <t>Makita</t>
        </is>
      </c>
      <c r="B317" t="inlineStr">
        <is>
          <t>LS 1110</t>
        </is>
      </c>
      <c r="C317" t="inlineStr">
        <is>
          <t>compound</t>
        </is>
      </c>
      <c r="E317" t="inlineStr">
        <is>
          <t>來源頁看不到刀片直徑；只有缺貨的價格</t>
        </is>
      </c>
      <c r="F317" t="inlineStr">
        <is>
          <t>https://www.galaxus.be/fr/s4/product/makita-ls-1110-scie-a-onglet-42385556</t>
        </is>
      </c>
      <c r="G317" t="inlineStr">
        <is>
          <t>BE</t>
        </is>
      </c>
    </row>
    <row r="318">
      <c r="A318" t="inlineStr">
        <is>
          <t>Makita</t>
        </is>
      </c>
      <c r="B318" t="inlineStr">
        <is>
          <t>LS 1219</t>
        </is>
      </c>
      <c r="C318" t="inlineStr">
        <is>
          <t>compound</t>
        </is>
      </c>
      <c r="E318" t="inlineStr">
        <is>
          <t>來源頁看不到刀片直徑；交期 10 天以上（Livré entre mer, 25/11 et mer, 2/12）</t>
        </is>
      </c>
      <c r="F318" t="inlineStr">
        <is>
          <t>https://www.galaxus.fr/fr/s4/product/makita-ls-1219-scie-a-onglet-12230397</t>
        </is>
      </c>
      <c r="G318" t="inlineStr">
        <is>
          <t>FR</t>
        </is>
      </c>
    </row>
    <row r="319">
      <c r="A319" t="inlineStr">
        <is>
          <t>Makita</t>
        </is>
      </c>
      <c r="B319" t="inlineStr">
        <is>
          <t>LS002G</t>
        </is>
      </c>
      <c r="C319" t="inlineStr">
        <is>
          <t>sliding</t>
        </is>
      </c>
      <c r="D319" t="n">
        <v>216</v>
      </c>
      <c r="E319" t="inlineStr">
        <is>
          <t>刀片直徑不在 222～267 mm</t>
        </is>
      </c>
      <c r="F319" t="inlineStr">
        <is>
          <t>https://www.bauhaus.es/tronzadoras-e-ingletadoras/makita-xgt-40v-max-ingletadora-de-bateria-ls002g/p/28635839</t>
        </is>
      </c>
      <c r="G319" t="inlineStr">
        <is>
          <t>ES</t>
        </is>
      </c>
    </row>
    <row r="320">
      <c r="A320" t="inlineStr">
        <is>
          <t>Makita</t>
        </is>
      </c>
      <c r="B320" t="inlineStr">
        <is>
          <t>LS002GZ01</t>
        </is>
      </c>
      <c r="C320" t="inlineStr">
        <is>
          <t>sliding</t>
        </is>
      </c>
      <c r="D320" t="n">
        <v>216</v>
      </c>
      <c r="E320" t="inlineStr">
        <is>
          <t>刀片直徑不在 222～267 mm</t>
        </is>
      </c>
      <c r="F320" t="inlineStr">
        <is>
          <t>https://www.hornbach.nl/p/makita-accu-afkortzaag-xgt-ls002gz01-excl-accu-en-lader/10454084/</t>
        </is>
      </c>
      <c r="G320" t="inlineStr">
        <is>
          <t>NL</t>
        </is>
      </c>
    </row>
    <row r="321">
      <c r="A321" t="inlineStr">
        <is>
          <t>Makita</t>
        </is>
      </c>
      <c r="B321" t="inlineStr">
        <is>
          <t>LS003GZ01</t>
        </is>
      </c>
      <c r="C321" t="inlineStr">
        <is>
          <t>undetermined</t>
        </is>
      </c>
      <c r="D321" t="n">
        <v>305</v>
      </c>
      <c r="E321" t="inlineStr">
        <is>
          <t>刀片直徑不在 222～267 mm；產品線判不出（來源頁看不出有沒有滑軌）</t>
        </is>
      </c>
      <c r="F321" t="inlineStr">
        <is>
          <t>https://www.hornbach.nl/p/makita-accu-afkortzaag-xgt-ls003gz01-excl-accu-en-lader/10495808/</t>
        </is>
      </c>
      <c r="G321" t="inlineStr">
        <is>
          <t>NL</t>
        </is>
      </c>
    </row>
    <row r="322">
      <c r="A322" t="inlineStr">
        <is>
          <t>Makita</t>
        </is>
      </c>
      <c r="B322" t="inlineStr">
        <is>
          <t>LS0815FLN</t>
        </is>
      </c>
      <c r="C322" t="inlineStr">
        <is>
          <t>compound</t>
        </is>
      </c>
      <c r="E322" t="inlineStr">
        <is>
          <t>來源頁看不到刀片直徑</t>
        </is>
      </c>
      <c r="F322" t="inlineStr">
        <is>
          <t>https://www.mediamarkt.at/de/product/_makita-ls0815fln-kapp-und-gehrungssage-blau-97030256.html</t>
        </is>
      </c>
      <c r="G322" t="inlineStr">
        <is>
          <t>AT</t>
        </is>
      </c>
    </row>
    <row r="323">
      <c r="A323" t="inlineStr">
        <is>
          <t>Makita</t>
        </is>
      </c>
      <c r="B323" t="inlineStr">
        <is>
          <t>LS0816F</t>
        </is>
      </c>
      <c r="C323" t="inlineStr">
        <is>
          <t>compound</t>
        </is>
      </c>
      <c r="D323" t="n">
        <v>216</v>
      </c>
      <c r="E323" t="inlineStr">
        <is>
          <t>刀片直徑不在 222～267 mm</t>
        </is>
      </c>
      <c r="F323" t="inlineStr">
        <is>
          <t>https://www.hornbach.at/p/kappsaege-makita-ls0816f-1200-w-230-v/12033891/</t>
        </is>
      </c>
      <c r="G323" t="inlineStr">
        <is>
          <t>AT</t>
        </is>
      </c>
    </row>
    <row r="324">
      <c r="A324" t="inlineStr">
        <is>
          <t>Makita</t>
        </is>
      </c>
      <c r="B324" t="inlineStr">
        <is>
          <t>LS1018L</t>
        </is>
      </c>
      <c r="C324" t="inlineStr">
        <is>
          <t>sliding</t>
        </is>
      </c>
      <c r="E324" t="inlineStr">
        <is>
          <t>來源頁看不到刀片直徑</t>
        </is>
      </c>
      <c r="F324" t="inlineStr">
        <is>
          <t>https://www.ebay.de/itm/167904927787?_skw=Makita+LS1018L&amp;epid=13036277774&amp;itmmeta=01M58S0RRXKH39B6YE2SBYE49G&amp;hash=item2717e9e02b:i:167904927787&amp;itmprp=enc%3AAQALAAAA8CHNgUiiE%2FjQhlDTaMiAde%2BeTsfzPMQXMcjBEoOov4uVkp%2BVTlnD5ZN%2Blp7Wnf%2BQep07h9yPZBWOgXyd5kf38IFPSEybUS%2BmdVMpo9renKwIoF15lwLZcGV9YiRxWXD0H1I8w2NHFlZa0M9%2FO9w5hqdJzi2J6Ytda2SaJcupt3SvDebZY3v0mWQ1BTxHml%2B0BmNn1OkgAbdr6mi1wWOAGIxXd%2FqtIfmMmXjhEuqDXqt9sl%2F2yLhm2kIWDgDmDRZ0AngAwwI%2B0E0I5H5BaJLn0AgyyG5P7cs5weSy8B4moAreGY4Rtys3NDHdMFLkqhPXiw%3D%3D%7Ctkp%3ABk9SR-KMg5mqaA</t>
        </is>
      </c>
      <c r="G324" t="inlineStr">
        <is>
          <t>DE</t>
        </is>
      </c>
    </row>
    <row r="325">
      <c r="A325" t="inlineStr">
        <is>
          <t>Makita</t>
        </is>
      </c>
      <c r="B325" t="inlineStr">
        <is>
          <t>LS1019/2</t>
        </is>
      </c>
      <c r="C325" t="inlineStr">
        <is>
          <t>sliding</t>
        </is>
      </c>
      <c r="D325" t="n">
        <v>260</v>
      </c>
      <c r="E325" t="inlineStr">
        <is>
          <t>找不到經目視確認、對應這台機器的商品圖：Wickes 售價頁沒抓到圖；下一輪補圖（2026-10-21）</t>
        </is>
      </c>
      <c r="F325" t="inlineStr">
        <is>
          <t>https://www.wickes.co.uk/Makita-LS1019-2-260mm-Sliding-Mitre-Saw-240V---1510W/p/209853</t>
        </is>
      </c>
      <c r="G325" t="inlineStr">
        <is>
          <t>GB</t>
        </is>
      </c>
    </row>
    <row r="326">
      <c r="A326" t="inlineStr">
        <is>
          <t>Makita</t>
        </is>
      </c>
      <c r="B326" t="inlineStr">
        <is>
          <t>LS1219L</t>
        </is>
      </c>
      <c r="C326" t="inlineStr">
        <is>
          <t>sliding</t>
        </is>
      </c>
      <c r="E326" t="inlineStr">
        <is>
          <t>來源頁看不到刀片直徑；MediaMarkt AT 市集賣家 MORELE.NET（波蘭），頁面沒寫交期；比照 Brico Dépôt 跨國賣家不採（2026-10-21 第 14 版，使用者表單「不採，和 Brico Dépôt 一致」）</t>
        </is>
      </c>
      <c r="F326" t="inlineStr">
        <is>
          <t>https://www.mediamarkt.at/de/product/_makita-ls1219l-kapp-und-gehrungssage-170153803.html</t>
        </is>
      </c>
      <c r="G326" t="inlineStr">
        <is>
          <t>AT</t>
        </is>
      </c>
    </row>
    <row r="327">
      <c r="A327" t="inlineStr">
        <is>
          <t>Makita</t>
        </is>
      </c>
      <c r="B327" t="inlineStr">
        <is>
          <t>LW1400/1</t>
        </is>
      </c>
      <c r="C327" t="inlineStr">
        <is>
          <t>undetermined</t>
        </is>
      </c>
      <c r="D327" t="n">
        <v>355</v>
      </c>
      <c r="E327" t="inlineStr">
        <is>
          <t>刀片直徑不在 222～267 mm；產品線判不出（來源頁看不出有沒有滑軌）</t>
        </is>
      </c>
      <c r="F327" t="inlineStr">
        <is>
          <t>https://www.sitebox.ltd.uk/makita-lw14001-355mm-portable-cutoff-saw-110v-oLW14001</t>
        </is>
      </c>
      <c r="G327" t="inlineStr">
        <is>
          <t>GB</t>
        </is>
      </c>
    </row>
    <row r="328">
      <c r="A328" t="inlineStr">
        <is>
          <t>Makita</t>
        </is>
      </c>
      <c r="B328" t="inlineStr">
        <is>
          <t>M2300N</t>
        </is>
      </c>
      <c r="C328" t="inlineStr">
        <is>
          <t>sliding</t>
        </is>
      </c>
      <c r="D328" t="n">
        <v>255</v>
      </c>
      <c r="E328" t="inlineStr">
        <is>
          <t>交期 10 天以上（A domicilio - 15 - 17 dic. - Gratuito）</t>
        </is>
      </c>
      <c r="F328" t="inlineStr">
        <is>
          <t>https://www.manomano.it/p/troncatrice-1500w-255-mm-makita-m2300n-46384490</t>
        </is>
      </c>
      <c r="G328" t="inlineStr">
        <is>
          <t>IT</t>
        </is>
      </c>
    </row>
    <row r="329">
      <c r="A329" t="inlineStr">
        <is>
          <t>Makita</t>
        </is>
      </c>
      <c r="B329" t="inlineStr">
        <is>
          <t>MLT100NX1/2</t>
        </is>
      </c>
      <c r="C329" t="inlineStr">
        <is>
          <t>table</t>
        </is>
      </c>
      <c r="E329" t="inlineStr">
        <is>
          <t>來源頁看不到刀片直徑</t>
        </is>
      </c>
      <c r="F329" t="inlineStr">
        <is>
          <t>https://www.wickes.co.uk/Makita-MLT100NX1-2-10in-Table-Saw-240V---1500W/p/215805</t>
        </is>
      </c>
      <c r="G329" t="inlineStr">
        <is>
          <t>GB</t>
        </is>
      </c>
    </row>
    <row r="330">
      <c r="A330" t="inlineStr">
        <is>
          <t>Max Extra</t>
        </is>
      </c>
      <c r="B330" t="inlineStr">
        <is>
          <t>8200</t>
        </is>
      </c>
      <c r="C330" t="inlineStr">
        <is>
          <t>undetermined</t>
        </is>
      </c>
      <c r="D330" t="n">
        <v>255</v>
      </c>
      <c r="E330" t="inlineStr">
        <is>
          <t>產品線判不出（來源頁看不出有沒有滑軌）；複合機（翻轉鋸或上方附台的斜切鋸）不收</t>
        </is>
      </c>
      <c r="F330" t="inlineStr">
        <is>
          <t>https://www.hepsiburada.com/max-extra-8200-gonye-kesme-makinesi-255mm-1600w-pm-HBC0000054O8V</t>
        </is>
      </c>
      <c r="G330" t="inlineStr">
        <is>
          <t>TR</t>
        </is>
      </c>
    </row>
    <row r="331">
      <c r="A331" t="inlineStr">
        <is>
          <t>Max Extra</t>
        </is>
      </c>
      <c r="B331" t="inlineStr">
        <is>
          <t>8230</t>
        </is>
      </c>
      <c r="C331" t="inlineStr">
        <is>
          <t>compound</t>
        </is>
      </c>
      <c r="D331" t="n">
        <v>255</v>
      </c>
      <c r="E331" t="inlineStr">
        <is>
          <t>複合機（翻轉鋸或上方附台的斜切鋸）不收</t>
        </is>
      </c>
      <c r="F331" t="inlineStr">
        <is>
          <t>https://www.hepsiburada.com/max-extra-8230-1600w-255mm-ustten-kesim-gonye-kesme-makinesi-pm-HBC0000BADWEE</t>
        </is>
      </c>
      <c r="G331" t="inlineStr">
        <is>
          <t>TR</t>
        </is>
      </c>
    </row>
    <row r="332">
      <c r="A332" t="inlineStr">
        <is>
          <t>Max Extra</t>
        </is>
      </c>
      <c r="B332" t="inlineStr">
        <is>
          <t>MX8230</t>
        </is>
      </c>
      <c r="C332" t="inlineStr">
        <is>
          <t>compound</t>
        </is>
      </c>
      <c r="D332" t="n">
        <v>255</v>
      </c>
      <c r="E332" t="inlineStr">
        <is>
          <t>複合機（翻轉鋸或上方附台的斜切鋸）不收</t>
        </is>
      </c>
      <c r="F332" t="inlineStr">
        <is>
          <t>https://www.hepsiburada.com/max-extra-mx8230-gonye-kesme-makinasi-255mm-1600-watt-pvc-ahsap-metal-aluminyum-kesme-pm-HBC000089CM7J</t>
        </is>
      </c>
      <c r="G332" t="inlineStr">
        <is>
          <t>TR</t>
        </is>
      </c>
    </row>
    <row r="333">
      <c r="A333" t="inlineStr">
        <is>
          <t>Meec Tools</t>
        </is>
      </c>
      <c r="B333" t="inlineStr"/>
      <c r="C333" t="inlineStr">
        <is>
          <t>compound</t>
        </is>
      </c>
      <c r="D333" t="n">
        <v>254</v>
      </c>
      <c r="E333" t="inlineStr">
        <is>
          <t>來源頁看不到型號</t>
        </is>
      </c>
      <c r="F333" t="inlineStr">
        <is>
          <t>https://www.jula.no/catalog/verktoy-og-maskiner/el-verktoy-og-maskiner/stasjonare-sager/elektriske-kapp-gjarsager/kapp-og-gjarsag-009461/</t>
        </is>
      </c>
      <c r="G333" t="inlineStr">
        <is>
          <t>NO</t>
        </is>
      </c>
    </row>
    <row r="334">
      <c r="A334" t="inlineStr">
        <is>
          <t>Meec Tools</t>
        </is>
      </c>
      <c r="B334" t="inlineStr"/>
      <c r="C334" t="inlineStr">
        <is>
          <t>compound</t>
        </is>
      </c>
      <c r="D334" t="n">
        <v>216</v>
      </c>
      <c r="E334" t="inlineStr">
        <is>
          <t>來源頁看不到型號；刀片直徑不在 222～267 mm</t>
        </is>
      </c>
      <c r="F334" t="inlineStr">
        <is>
          <t>https://www.jula.se/catalog/verktyg-och-maskiner/elverktyg-och-maskiner/stationara-sagar/elektriska-kap-gersagar/kap-och-gersag-009460/</t>
        </is>
      </c>
      <c r="G334" t="inlineStr">
        <is>
          <t>SE</t>
        </is>
      </c>
    </row>
    <row r="335">
      <c r="A335" t="inlineStr">
        <is>
          <t>Meec Tools</t>
        </is>
      </c>
      <c r="B335" t="inlineStr"/>
      <c r="C335" t="inlineStr">
        <is>
          <t>compound</t>
        </is>
      </c>
      <c r="D335" t="n">
        <v>190</v>
      </c>
      <c r="E335" t="inlineStr">
        <is>
          <t>來源頁看不到型號；刀片直徑不在 222～267 mm</t>
        </is>
      </c>
      <c r="F335" t="inlineStr">
        <is>
          <t>https://www.jula.se/catalog/verktyg-och-maskiner/elverktyg-och-maskiner/stationara-sagar/elektriska-kap-gersagar/kap-och-gersag-020652/</t>
        </is>
      </c>
      <c r="G335" t="inlineStr">
        <is>
          <t>SE</t>
        </is>
      </c>
    </row>
    <row r="336">
      <c r="A336" t="inlineStr">
        <is>
          <t>Metabo</t>
        </is>
      </c>
      <c r="B336" t="inlineStr"/>
      <c r="C336" t="inlineStr">
        <is>
          <t>sliding</t>
        </is>
      </c>
      <c r="D336" t="n">
        <v>254</v>
      </c>
      <c r="E336" t="inlineStr">
        <is>
          <t>來源頁看不到型號；交期 10 天以上（Lieferzeit ca. 2-3 Wochen）</t>
        </is>
      </c>
      <c r="F336" t="inlineStr">
        <is>
          <t>https://www.hornbach.de/p/kapp-und-gehrungssaege-metabo-1450-w-230-v/12630293/</t>
        </is>
      </c>
      <c r="G336" t="inlineStr">
        <is>
          <t>DE</t>
        </is>
      </c>
    </row>
    <row r="337">
      <c r="A337" t="inlineStr">
        <is>
          <t>Metabo</t>
        </is>
      </c>
      <c r="B337" t="inlineStr">
        <is>
          <t>0103153038</t>
        </is>
      </c>
      <c r="C337" t="inlineStr">
        <is>
          <t>table</t>
        </is>
      </c>
      <c r="E337" t="inlineStr">
        <is>
          <t>來源頁看不到刀片直徑</t>
        </is>
      </c>
      <c r="F337" t="inlineStr">
        <is>
          <t>https://www.diy.com/departments/metabo-0103153038-tkhs-315-m-site-saw-2500w-240v-mpttkhsm/4003665403380_BQ.prd</t>
        </is>
      </c>
      <c r="G337" t="inlineStr">
        <is>
          <t>GB</t>
        </is>
      </c>
    </row>
    <row r="338">
      <c r="A338" t="inlineStr">
        <is>
          <t>Metabo</t>
        </is>
      </c>
      <c r="B338" t="inlineStr">
        <is>
          <t>KG 305 M</t>
        </is>
      </c>
      <c r="C338" t="inlineStr">
        <is>
          <t>sliding</t>
        </is>
      </c>
      <c r="D338" t="n">
        <v>305</v>
      </c>
      <c r="E338" t="inlineStr">
        <is>
          <t>刀片直徑不在 222～267 mm</t>
        </is>
      </c>
      <c r="F338" t="inlineStr">
        <is>
          <t>https://www.leroymerlin.it/prodotti/sega-metabo-kg-305-m-87653954.html</t>
        </is>
      </c>
      <c r="G338" t="inlineStr">
        <is>
          <t>IT</t>
        </is>
      </c>
    </row>
    <row r="339">
      <c r="A339" t="inlineStr">
        <is>
          <t>Metabo</t>
        </is>
      </c>
      <c r="B339" t="inlineStr">
        <is>
          <t>KGS 18 LTX BL 216</t>
        </is>
      </c>
      <c r="C339" t="inlineStr">
        <is>
          <t>sliding</t>
        </is>
      </c>
      <c r="D339" t="n">
        <v>216</v>
      </c>
      <c r="E339" t="inlineStr">
        <is>
          <t>刀片直徑不在 222～267 mm</t>
        </is>
      </c>
      <c r="F339" t="inlineStr">
        <is>
          <t>https://www.hornbach.ch/de/p/metabo-akku-kappsaege-kgs-18-ltx-bl-216/10721006/</t>
        </is>
      </c>
      <c r="G339" t="inlineStr">
        <is>
          <t>CH</t>
        </is>
      </c>
    </row>
    <row r="340">
      <c r="A340" t="inlineStr">
        <is>
          <t>Metabo</t>
        </is>
      </c>
      <c r="B340" t="inlineStr">
        <is>
          <t>KGS 18 LTX BL 305</t>
        </is>
      </c>
      <c r="C340" t="inlineStr">
        <is>
          <t>sliding</t>
        </is>
      </c>
      <c r="D340" t="n">
        <v>305</v>
      </c>
      <c r="E340" t="inlineStr">
        <is>
          <t>刀片直徑不在 222～267 mm</t>
        </is>
      </c>
      <c r="F340" t="inlineStr">
        <is>
          <t>https://www.hornbach.de/p/akku-kapp-und-gehrungssaege-metabo-kgs-18-ltx-bl-305-saegeblatt-305-x-30-mm-brushless-ohne-akku-und-ladegeraet/12630292/</t>
        </is>
      </c>
      <c r="G340" t="inlineStr">
        <is>
          <t>DE</t>
        </is>
      </c>
    </row>
    <row r="341">
      <c r="A341" t="inlineStr">
        <is>
          <t>Metabo</t>
        </is>
      </c>
      <c r="B341" t="inlineStr">
        <is>
          <t>KGS 216 M</t>
        </is>
      </c>
      <c r="C341" t="inlineStr">
        <is>
          <t>sliding</t>
        </is>
      </c>
      <c r="D341" t="n">
        <v>216</v>
      </c>
      <c r="E341" t="inlineStr">
        <is>
          <t>刀片直徑不在 222～267 mm；複合機（翻轉鋸或上方附台的斜切鋸）不收</t>
        </is>
      </c>
      <c r="F341" t="inlineStr">
        <is>
          <t>https://toom.de/p/kapp-und-gehrungssaege-set-kgs-216-m-1200-w/1501958</t>
        </is>
      </c>
      <c r="G341" t="inlineStr">
        <is>
          <t>DE</t>
        </is>
      </c>
    </row>
    <row r="342">
      <c r="A342" t="inlineStr">
        <is>
          <t>Metabo</t>
        </is>
      </c>
      <c r="B342" t="inlineStr">
        <is>
          <t>KGS 216 M Set</t>
        </is>
      </c>
      <c r="C342" t="inlineStr">
        <is>
          <t>sliding</t>
        </is>
      </c>
      <c r="D342" t="n">
        <v>216</v>
      </c>
      <c r="E342" t="inlineStr">
        <is>
          <t>刀片直徑不在 222～267 mm；套裝價（型號帶 Set），不算機台價（10-19 表單）</t>
        </is>
      </c>
      <c r="F342" t="inlineStr">
        <is>
          <t>https://www.hornbach.de/p/kappsaege-metabo-kgs-216-m-set/10721005/</t>
        </is>
      </c>
      <c r="G342" t="inlineStr">
        <is>
          <t>DE</t>
        </is>
      </c>
    </row>
    <row r="343">
      <c r="A343" t="inlineStr">
        <is>
          <t>Metabo</t>
        </is>
      </c>
      <c r="B343" t="inlineStr">
        <is>
          <t>KGS 305 M</t>
        </is>
      </c>
      <c r="C343" t="inlineStr">
        <is>
          <t>compound</t>
        </is>
      </c>
      <c r="D343" t="n">
        <v>305</v>
      </c>
      <c r="E343" t="inlineStr">
        <is>
          <t>刀片直徑不在 222～267 mm</t>
        </is>
      </c>
      <c r="F343" t="inlineStr">
        <is>
          <t>https://www.bauhaus.cz/metabo-pokosova-a-kapovaci-pila-kgs-305-m-30605031</t>
        </is>
      </c>
      <c r="G343" t="inlineStr">
        <is>
          <t>CZ</t>
        </is>
      </c>
    </row>
    <row r="344">
      <c r="A344" t="inlineStr">
        <is>
          <t>Metabo</t>
        </is>
      </c>
      <c r="B344" t="inlineStr">
        <is>
          <t>KGS 305 M PCL</t>
        </is>
      </c>
      <c r="C344" t="inlineStr">
        <is>
          <t>sliding</t>
        </is>
      </c>
      <c r="D344" t="n">
        <v>305</v>
      </c>
      <c r="E344" t="inlineStr">
        <is>
          <t>刀片直徑不在 222～267 mm；交期 10 天以上（Удължен срок за доставка до 10 дни）</t>
        </is>
      </c>
      <c r="F344" t="inlineStr">
        <is>
          <t>https://bauhaus.bg/potapyasht-gerung-cirkulyar-s-izteglyane-metabo-kgs-305-m-pcl/p/137104?search_id=34658882</t>
        </is>
      </c>
      <c r="G344" t="inlineStr">
        <is>
          <t>BG</t>
        </is>
      </c>
    </row>
    <row r="345">
      <c r="A345" t="inlineStr">
        <is>
          <t>Metabo</t>
        </is>
      </c>
      <c r="B345" t="inlineStr">
        <is>
          <t>KGS 305 M Set</t>
        </is>
      </c>
      <c r="C345" t="inlineStr">
        <is>
          <t>compound</t>
        </is>
      </c>
      <c r="D345" t="n">
        <v>305</v>
      </c>
      <c r="E345" t="inlineStr">
        <is>
          <t>刀片直徑不在 222～267 mm；套裝價（型號帶 Set），不算機台價（10-19 表單）</t>
        </is>
      </c>
      <c r="F345" t="inlineStr">
        <is>
          <t>https://www.galaxus.be/fr/s4/product/metabo-kgs-305-m-set-scie-a-onglet-36686781</t>
        </is>
      </c>
      <c r="G345" t="inlineStr">
        <is>
          <t>BE</t>
        </is>
      </c>
    </row>
    <row r="346">
      <c r="A346" t="inlineStr">
        <is>
          <t>Metabo</t>
        </is>
      </c>
      <c r="B346" t="inlineStr">
        <is>
          <t>KGS 315 Plus</t>
        </is>
      </c>
      <c r="C346" t="inlineStr">
        <is>
          <t>compound</t>
        </is>
      </c>
      <c r="E346" t="inlineStr">
        <is>
          <t>來源頁看不到刀片直徑</t>
        </is>
      </c>
      <c r="F346" t="inlineStr">
        <is>
          <t>https://www.obi.at/p/5266093/metabo-kappsaege-kgs-315-plus</t>
        </is>
      </c>
      <c r="G346" t="inlineStr">
        <is>
          <t>AT</t>
        </is>
      </c>
    </row>
    <row r="347">
      <c r="A347" t="inlineStr">
        <is>
          <t>Metabo</t>
        </is>
      </c>
      <c r="B347" t="inlineStr">
        <is>
          <t>KGSV 216 MC</t>
        </is>
      </c>
      <c r="C347" t="inlineStr">
        <is>
          <t>sliding</t>
        </is>
      </c>
      <c r="D347" t="n">
        <v>216</v>
      </c>
      <c r="E347" t="inlineStr">
        <is>
          <t>刀片直徑不在 222～267 mm</t>
        </is>
      </c>
      <c r="F347" t="inlineStr">
        <is>
          <t>https://www.hornbach.de/p/kapp-und-gehrungssaege-metabo-kgsv-216-mc/12630294/</t>
        </is>
      </c>
      <c r="G347" t="inlineStr">
        <is>
          <t>DE</t>
        </is>
      </c>
    </row>
    <row r="348">
      <c r="A348" t="inlineStr">
        <is>
          <t>Metabo</t>
        </is>
      </c>
      <c r="B348" t="inlineStr">
        <is>
          <t>KGSV 72 XACT SYM</t>
        </is>
      </c>
      <c r="C348" t="inlineStr">
        <is>
          <t>sliding</t>
        </is>
      </c>
      <c r="D348" t="n">
        <v>216</v>
      </c>
      <c r="E348" t="inlineStr">
        <is>
          <t>刀片直徑不在 222～267 mm</t>
        </is>
      </c>
      <c r="F348" t="inlineStr">
        <is>
          <t>https://toom.de/p/kapp-und-zugsaege-kgsv-72-xact-sym-1800-w/1490537</t>
        </is>
      </c>
      <c r="G348" t="inlineStr">
        <is>
          <t>DE</t>
        </is>
      </c>
    </row>
    <row r="349">
      <c r="A349" t="inlineStr">
        <is>
          <t>Metabo</t>
        </is>
      </c>
      <c r="B349" t="inlineStr">
        <is>
          <t>KGT 305 M</t>
        </is>
      </c>
      <c r="C349" t="inlineStr">
        <is>
          <t>compound</t>
        </is>
      </c>
      <c r="D349" t="n">
        <v>305</v>
      </c>
      <c r="E349" t="inlineStr">
        <is>
          <t>刀片直徑不在 222～267 mm；複合機（翻轉鋸或上方附台的斜切鋸）不收</t>
        </is>
      </c>
      <c r="F349" t="inlineStr">
        <is>
          <t>https://www.hornbach.ch/de/p/metabo-kappsaege-mit-tisch-kgt-305-m-1800-w-230-v/12630295/</t>
        </is>
      </c>
      <c r="G349" t="inlineStr">
        <is>
          <t>CH</t>
        </is>
      </c>
    </row>
    <row r="350">
      <c r="A350" t="inlineStr">
        <is>
          <t>Metabo</t>
        </is>
      </c>
      <c r="B350" t="inlineStr">
        <is>
          <t>KS 216 M</t>
        </is>
      </c>
      <c r="C350" t="inlineStr">
        <is>
          <t>compound</t>
        </is>
      </c>
      <c r="D350" t="n">
        <v>216</v>
      </c>
      <c r="E350" t="inlineStr">
        <is>
          <t>刀片直徑不在 222～267 mm</t>
        </is>
      </c>
      <c r="F350" t="inlineStr">
        <is>
          <t>https://www.hornbach.nl/p/metabo-afkortzaag-ks-216-m/10721009/</t>
        </is>
      </c>
      <c r="G350" t="inlineStr">
        <is>
          <t>NL</t>
        </is>
      </c>
    </row>
    <row r="351">
      <c r="A351" t="inlineStr">
        <is>
          <t>Metabo</t>
        </is>
      </c>
      <c r="B351" t="inlineStr">
        <is>
          <t>KS 216 M Lasercut</t>
        </is>
      </c>
      <c r="C351" t="inlineStr">
        <is>
          <t>compound</t>
        </is>
      </c>
      <c r="D351" t="n">
        <v>216</v>
      </c>
      <c r="E351" t="inlineStr">
        <is>
          <t>刀片直徑不在 222～267 mm</t>
        </is>
      </c>
      <c r="F351" t="inlineStr">
        <is>
          <t>https://www.obi.at/p/3189107/metabo-kappsaege-ks-216-m-lasercut-1-100-w</t>
        </is>
      </c>
      <c r="G351" t="inlineStr">
        <is>
          <t>AT</t>
        </is>
      </c>
    </row>
    <row r="352">
      <c r="A352" t="inlineStr">
        <is>
          <t>Metabo</t>
        </is>
      </c>
      <c r="B352" t="inlineStr">
        <is>
          <t>KS 55 FS Set</t>
        </is>
      </c>
      <c r="C352" t="inlineStr">
        <is>
          <t>undetermined</t>
        </is>
      </c>
      <c r="D352" t="n">
        <v>160</v>
      </c>
      <c r="E352" t="inlineStr">
        <is>
          <t>刀片直徑不在 222～267 mm；產品線判不出（來源頁看不出有沒有滑軌）；套裝價（型號帶 Set），不算機台價（10-19 表單）</t>
        </is>
      </c>
      <c r="F352" t="inlineStr">
        <is>
          <t>https://www.toolstation.nl/metabo-ks-55-fs-set-cirkelzaagmachine/p10954</t>
        </is>
      </c>
      <c r="G352" t="inlineStr">
        <is>
          <t>NL</t>
        </is>
      </c>
    </row>
    <row r="353">
      <c r="A353" t="inlineStr">
        <is>
          <t>Metabo</t>
        </is>
      </c>
      <c r="B353" t="inlineStr">
        <is>
          <t>TKHS 315 C 2,0 WNB</t>
        </is>
      </c>
      <c r="C353" t="inlineStr">
        <is>
          <t>table</t>
        </is>
      </c>
      <c r="D353" t="n">
        <v>315</v>
      </c>
      <c r="E353" t="inlineStr">
        <is>
          <t>刀片直徑不在 222～267 mm</t>
        </is>
      </c>
      <c r="F353" t="inlineStr">
        <is>
          <t>https://www.obi.at/p/6026645/metabo-tischkreissaege-tkhs-315-c-2-0-wnb-2-000-w</t>
        </is>
      </c>
      <c r="G353" t="inlineStr">
        <is>
          <t>AT</t>
        </is>
      </c>
    </row>
    <row r="354">
      <c r="A354" t="inlineStr">
        <is>
          <t>Metabo</t>
        </is>
      </c>
      <c r="B354" t="inlineStr">
        <is>
          <t>TKHS 315 M</t>
        </is>
      </c>
      <c r="C354" t="inlineStr">
        <is>
          <t>table</t>
        </is>
      </c>
      <c r="D354" t="n">
        <v>315</v>
      </c>
      <c r="E354" t="inlineStr">
        <is>
          <t>刀片直徑不在 222～267 mm</t>
        </is>
      </c>
      <c r="F354" t="inlineStr">
        <is>
          <t>https://www.castorama.fr/mkp/metabo-scie-sur-table-tkhs-315m-moteur-induction-mono-3-1-kw/4003665403403_CAFR.prd</t>
        </is>
      </c>
      <c r="G354" t="inlineStr">
        <is>
          <t>FR</t>
        </is>
      </c>
    </row>
    <row r="355">
      <c r="A355" t="inlineStr">
        <is>
          <t>Metabo</t>
        </is>
      </c>
      <c r="B355" t="inlineStr">
        <is>
          <t>TKHS 315C</t>
        </is>
      </c>
      <c r="C355" t="inlineStr">
        <is>
          <t>table</t>
        </is>
      </c>
      <c r="D355" t="n">
        <v>315</v>
      </c>
      <c r="E355" t="inlineStr">
        <is>
          <t>刀片直徑不在 222～267 mm</t>
        </is>
      </c>
      <c r="F355" t="inlineStr">
        <is>
          <t>https://www.hornbach.de/p/tischkreissaege-metabo-tkhs-315c-inkl-saegeblatt-hm-saegeblatt-o-315x30mm/5128183/</t>
        </is>
      </c>
      <c r="G355" t="inlineStr">
        <is>
          <t>DE</t>
        </is>
      </c>
    </row>
    <row r="356">
      <c r="A356" t="inlineStr">
        <is>
          <t>Metabo</t>
        </is>
      </c>
      <c r="B356" t="inlineStr">
        <is>
          <t>TS 216</t>
        </is>
      </c>
      <c r="C356" t="inlineStr">
        <is>
          <t>table</t>
        </is>
      </c>
      <c r="D356" t="n">
        <v>216</v>
      </c>
      <c r="E356" t="inlineStr">
        <is>
          <t>刀片直徑不在 222～267 mm</t>
        </is>
      </c>
      <c r="F356" t="inlineStr">
        <is>
          <t>https://www.manomano.es/p/sierra-circular-de-mesa-metabo-ts-216-1539623?product_id=24993254</t>
        </is>
      </c>
      <c r="G356" t="inlineStr">
        <is>
          <t>ES</t>
        </is>
      </c>
    </row>
    <row r="357">
      <c r="A357" t="inlineStr">
        <is>
          <t>Metabo</t>
        </is>
      </c>
      <c r="B357" t="inlineStr">
        <is>
          <t>TS 36-18 LTX BL 254</t>
        </is>
      </c>
      <c r="C357" t="inlineStr">
        <is>
          <t>table</t>
        </is>
      </c>
      <c r="D357" t="n">
        <v>254</v>
      </c>
      <c r="E357" t="inlineStr">
        <is>
          <t>未含稅價</t>
        </is>
      </c>
      <c r="F357" t="inlineStr">
        <is>
          <t>https://www.cdiscount.com/bricolage/outillage/metabo-scie-circulaire-de-table-18v-254x30mm-san/f-166010106-met2009266381470.html</t>
        </is>
      </c>
      <c r="G357" t="inlineStr">
        <is>
          <t>FR</t>
        </is>
      </c>
    </row>
    <row r="358">
      <c r="A358" t="inlineStr">
        <is>
          <t>Milwaukee</t>
        </is>
      </c>
      <c r="B358" t="inlineStr"/>
      <c r="C358" t="inlineStr">
        <is>
          <t>compound</t>
        </is>
      </c>
      <c r="D358" t="n">
        <v>254</v>
      </c>
      <c r="E358" t="inlineStr">
        <is>
          <t>來源頁看不到型號</t>
        </is>
      </c>
      <c r="F358" t="inlineStr">
        <is>
          <t>https://www.toolstation.com/milwaukee-m18-fuel-mitre-saw-254mm/p93221</t>
        </is>
      </c>
      <c r="G358" t="inlineStr">
        <is>
          <t>GB</t>
        </is>
      </c>
    </row>
    <row r="359">
      <c r="A359" t="inlineStr">
        <is>
          <t>Milwaukee</t>
        </is>
      </c>
      <c r="B359" t="inlineStr">
        <is>
          <t>M18 FTS210-0</t>
        </is>
      </c>
      <c r="C359" t="inlineStr">
        <is>
          <t>table</t>
        </is>
      </c>
      <c r="E359" t="inlineStr">
        <is>
          <t>來源頁看不到刀片直徑；交期 10 天以上（Livré entre mar, 10/11 et mer, 18/11）</t>
        </is>
      </c>
      <c r="F359" t="inlineStr">
        <is>
          <t>https://www.galaxus.be/fr/s4/product/milwaukee-m18-fts210-0-scie-circulaire-sur-table-20498673</t>
        </is>
      </c>
      <c r="G359" t="inlineStr">
        <is>
          <t>BE</t>
        </is>
      </c>
    </row>
    <row r="360">
      <c r="A360" t="inlineStr">
        <is>
          <t>Mophorn</t>
        </is>
      </c>
      <c r="B360" t="inlineStr">
        <is>
          <t>M1H-ZP12-254A-1</t>
        </is>
      </c>
      <c r="C360" t="inlineStr">
        <is>
          <t>table</t>
        </is>
      </c>
      <c r="D360" t="n">
        <v>254</v>
      </c>
      <c r="E360" t="inlineStr">
        <is>
          <t>找不到經目視確認、對應這台機器的商品圖：圖上 logo 是 VEVOR，與品牌 Mophorn 不符；機台本身看得到：鋸片從固定桌面升起（Table saw），2026-10-20 手動清單前核對</t>
        </is>
      </c>
      <c r="F360" t="inlineStr">
        <is>
          <t>https://www.manomano.de/p/mophorn-tischkreissage-10-zoll-8-ampere-25-zoll-maximale-schnittkapazitat-4400-umin-schnittgeschwindigkeit-40t-sageblatt-tragbare-kompakte-tischkreissage-mit-verschiebbarem-gehrungsanschlag-85628245</t>
        </is>
      </c>
      <c r="G360" t="inlineStr">
        <is>
          <t>DE</t>
        </is>
      </c>
    </row>
    <row r="361">
      <c r="A361" t="inlineStr">
        <is>
          <t>Parkside</t>
        </is>
      </c>
      <c r="B361" t="inlineStr"/>
      <c r="C361" t="inlineStr">
        <is>
          <t>table</t>
        </is>
      </c>
      <c r="D361" t="n">
        <v>210</v>
      </c>
      <c r="E361" t="inlineStr">
        <is>
          <t>來源頁看不到型號；刀片直徑不在 222～267 mm</t>
        </is>
      </c>
      <c r="F361" t="inlineStr">
        <is>
          <t>https://www.lidl.es/p/parkside-sierra-circular-de-mesa-movil-1200-w/p100410244</t>
        </is>
      </c>
      <c r="G361" t="inlineStr">
        <is>
          <t>ES</t>
        </is>
      </c>
    </row>
    <row r="362">
      <c r="A362" t="inlineStr">
        <is>
          <t>Parkside</t>
        </is>
      </c>
      <c r="B362" t="inlineStr">
        <is>
          <t>PKS 1500</t>
        </is>
      </c>
      <c r="C362" t="inlineStr">
        <is>
          <t>compound</t>
        </is>
      </c>
      <c r="E362" t="inlineStr">
        <is>
          <t>來源頁看不到刀片直徑；交期 10 天以上（FREE delivery Monday, 2 November）</t>
        </is>
      </c>
      <c r="F362" t="inlineStr">
        <is>
          <t>https://www.amazon.ie/Lidl-Parkside-1500-Kapp-Mitre/dp/B09XFLYLX9/ref=sr_1_34?dib=eyJ2IjoiMSJ9.TulXaFmEdTnntGLeLdB9net3eIsTF598_5whrLCCTV1BAt27RXtsA_cScQAmxCzVnLgzk4kzCRALtyNRS81jU76CLwzQQM5Ib3s2JpMObE-IAikx3kEV808HEECUPkAG2IY9WH3yE4Zb83YGdiSoGxeJY3D8mLeZzbs3akLyCDMh4HDd4ojlRWpXVc9VKA3n8z_3hgwvaVp9OvxGXtQEq34mvdPUrnh1M999tPrTdPoUZjK3DBgDCsD9yNbxHVzInA_GHdPoqjfqb88lHlAvf9ggFizA3gZNEY3U0EaYI7s.MM8FmEOE3veNdpIXf8tjk9KWLsZ5VDIhIh5-iVwmWAg&amp;dib_tag=se&amp;keywords=mitre+saw&amp;qid=1792548246&amp;sr=8-34</t>
        </is>
      </c>
      <c r="G362" t="inlineStr">
        <is>
          <t>IE</t>
        </is>
      </c>
    </row>
    <row r="363">
      <c r="A363" t="inlineStr">
        <is>
          <t>Parkside</t>
        </is>
      </c>
      <c r="B363" t="inlineStr">
        <is>
          <t>PKS 1500 C4</t>
        </is>
      </c>
      <c r="C363" t="inlineStr">
        <is>
          <t>compound</t>
        </is>
      </c>
      <c r="D363" t="n">
        <v>210</v>
      </c>
      <c r="E363" t="inlineStr">
        <is>
          <t>刀片直徑不在 222～267 mm</t>
        </is>
      </c>
      <c r="F363" t="inlineStr">
        <is>
          <t>https://www.lidl.es/p/parkside-sierra-de-inglete-y-de-mesa-pks-1500-c4/p100397927</t>
        </is>
      </c>
      <c r="G363" t="inlineStr">
        <is>
          <t>ES</t>
        </is>
      </c>
    </row>
    <row r="364">
      <c r="A364" t="inlineStr">
        <is>
          <t>Parkside</t>
        </is>
      </c>
      <c r="B364" t="inlineStr">
        <is>
          <t>PZKS 2000 C3</t>
        </is>
      </c>
      <c r="C364" t="inlineStr">
        <is>
          <t>sliding</t>
        </is>
      </c>
      <c r="D364" t="n">
        <v>210</v>
      </c>
      <c r="E364" t="inlineStr">
        <is>
          <t>刀片直徑不在 222～267 mm</t>
        </is>
      </c>
      <c r="F364" t="inlineStr">
        <is>
          <t>https://www.lidl.es/p/parkside-sierra-de-inglete-y-traccion-pzks-2000-c3/p100404456</t>
        </is>
      </c>
      <c r="G364" t="inlineStr">
        <is>
          <t>ES</t>
        </is>
      </c>
    </row>
    <row r="365">
      <c r="A365" t="inlineStr">
        <is>
          <t>Peugeot</t>
        </is>
      </c>
      <c r="B365" t="inlineStr">
        <is>
          <t>ENERGUSAW-254B3</t>
        </is>
      </c>
      <c r="C365" t="inlineStr">
        <is>
          <t>table</t>
        </is>
      </c>
      <c r="E365" t="inlineStr">
        <is>
          <t>來源頁看不到刀片直徑；交期 10 天以上（Consegna a partire da 13 giorni lavorati）</t>
        </is>
      </c>
      <c r="F365" t="inlineStr">
        <is>
          <t>https://www.leroymerlin.it/prodotti/peugeot-sega-tavolo-e-banco-energusaw-254b3-82276196.html</t>
        </is>
      </c>
      <c r="G365" t="inlineStr">
        <is>
          <t>IT</t>
        </is>
      </c>
    </row>
    <row r="366">
      <c r="A366" t="inlineStr">
        <is>
          <t>Peugeot</t>
        </is>
      </c>
      <c r="B366" t="inlineStr">
        <is>
          <t>Energyband120ldb 132067</t>
        </is>
      </c>
      <c r="C366" t="inlineStr">
        <is>
          <t>undetermined</t>
        </is>
      </c>
      <c r="E366" t="inlineStr">
        <is>
          <t>來源頁看不到刀片直徑；產品線判不出（來源頁看不出有沒有滑軌）；沒有可用的含稅售價</t>
        </is>
      </c>
      <c r="F366" t="inlineStr">
        <is>
          <t>https://www.amazon.de/Peugeot-132067-energyband120ldb-Bandsäge-Volant-Tisch/dp/B01GFBLNCG</t>
        </is>
      </c>
      <c r="G366" t="inlineStr">
        <is>
          <t>DE</t>
        </is>
      </c>
    </row>
    <row r="367">
      <c r="A367" t="inlineStr">
        <is>
          <t>Peugeot</t>
        </is>
      </c>
      <c r="B367" t="inlineStr">
        <is>
          <t>Energysaw 254B</t>
        </is>
      </c>
      <c r="C367" t="inlineStr">
        <is>
          <t>table</t>
        </is>
      </c>
      <c r="D367" t="n">
        <v>254</v>
      </c>
      <c r="E367" t="inlineStr">
        <is>
          <t>交期 10 天以上（Nach Hause - 2. – 6. Nov. -）</t>
        </is>
      </c>
      <c r="F367" t="inlineStr">
        <is>
          <t>https://www.manomano.de/p/tisch-und-banksage-1800-w-sageblatt-diam-254-x-30-mm-48-zahne-energy-34197334</t>
        </is>
      </c>
      <c r="G367" t="inlineStr">
        <is>
          <t>DE</t>
        </is>
      </c>
    </row>
    <row r="368">
      <c r="A368" t="inlineStr">
        <is>
          <t>Peugeot</t>
        </is>
      </c>
      <c r="B368" t="inlineStr">
        <is>
          <t>ENERGYSAW-216ASP</t>
        </is>
      </c>
      <c r="C368" t="inlineStr">
        <is>
          <t>table</t>
        </is>
      </c>
      <c r="D368" t="n">
        <v>216</v>
      </c>
      <c r="E368" t="inlineStr">
        <is>
          <t>刀片直徑不在 222～267 mm</t>
        </is>
      </c>
      <c r="F368" t="inlineStr">
        <is>
          <t>https://www.castorama.fr/scie-table-peugeot-energysaw-216asp-2000w/3611351320081_CAFR.prd</t>
        </is>
      </c>
      <c r="G368" t="inlineStr">
        <is>
          <t>FR</t>
        </is>
      </c>
    </row>
    <row r="369">
      <c r="A369" t="inlineStr">
        <is>
          <t>Peugeot</t>
        </is>
      </c>
      <c r="B369" t="inlineStr">
        <is>
          <t>ENERGYSAW-254B3BP</t>
        </is>
      </c>
      <c r="C369" t="inlineStr">
        <is>
          <t>table</t>
        </is>
      </c>
      <c r="D369" t="n">
        <v>254</v>
      </c>
      <c r="E369" t="inlineStr">
        <is>
          <t>交期 10 天以上（Entre le 02/11/2026 et le 16/11/2026）</t>
        </is>
      </c>
      <c r="F369" t="inlineStr">
        <is>
          <t>https://www.bricozor.com/p-93776-scie-sur-table-avec-pietement-1800w-lame-254-mm-energysaw-254b3bp-peugeot.html</t>
        </is>
      </c>
      <c r="G369" t="inlineStr">
        <is>
          <t>FR</t>
        </is>
      </c>
    </row>
    <row r="370">
      <c r="A370" t="inlineStr">
        <is>
          <t>Peugeot</t>
        </is>
      </c>
      <c r="B370" t="inlineStr">
        <is>
          <t>ENERGYSAW-254SB</t>
        </is>
      </c>
      <c r="C370" t="inlineStr">
        <is>
          <t>sliding</t>
        </is>
      </c>
      <c r="D370" t="n">
        <v>254</v>
      </c>
      <c r="E370" t="inlineStr">
        <is>
          <t>交期 10 天以上（Entre le 02/11/2026 et le 16/11/2026）</t>
        </is>
      </c>
      <c r="F370" t="inlineStr">
        <is>
          <t>https://www.bricozor.com/scie-onglets-radiale-double-inclinaison-energysaw-254sb-peugeot.html</t>
        </is>
      </c>
      <c r="G370" t="inlineStr">
        <is>
          <t>FR</t>
        </is>
      </c>
    </row>
    <row r="371">
      <c r="A371" t="inlineStr">
        <is>
          <t>Powerplus</t>
        </is>
      </c>
      <c r="B371" t="inlineStr"/>
      <c r="C371" t="inlineStr">
        <is>
          <t>sliding</t>
        </is>
      </c>
      <c r="D371" t="n">
        <v>254</v>
      </c>
      <c r="E371" t="inlineStr">
        <is>
          <t>來源頁看不到型號</t>
        </is>
      </c>
      <c r="F371" t="inlineStr">
        <is>
          <t>https://www.praxis.nl/gereedschap-werkplaats/elektrisch-gereedschap/zaagmachines/afkortzagen/powerplus-elektrische-verstekzaag-2100w-telescopische-zaagmachine-diam-254mm-recht-verstek/10643525</t>
        </is>
      </c>
      <c r="G371" t="inlineStr">
        <is>
          <t>NL</t>
        </is>
      </c>
    </row>
    <row r="372">
      <c r="A372" t="inlineStr">
        <is>
          <t>Powerplus</t>
        </is>
      </c>
      <c r="B372" t="inlineStr">
        <is>
          <t>POWX075730S</t>
        </is>
      </c>
      <c r="C372" t="inlineStr">
        <is>
          <t>sliding</t>
        </is>
      </c>
      <c r="D372" t="n">
        <v>254</v>
      </c>
      <c r="E372" t="inlineStr">
        <is>
          <t>沒有可用的含稅售價</t>
        </is>
      </c>
      <c r="F372" t="inlineStr">
        <is>
          <t>https://www.varo.com/p/powx075730s/telescopic-mitre-saw-2100w-o-254mm-1-acc</t>
        </is>
      </c>
      <c r="G372" t="inlineStr">
        <is>
          <t>BE</t>
        </is>
      </c>
    </row>
    <row r="373">
      <c r="A373" t="inlineStr">
        <is>
          <t>Powerplus</t>
        </is>
      </c>
      <c r="B373" t="inlineStr">
        <is>
          <t>POWX07583</t>
        </is>
      </c>
      <c r="C373" t="inlineStr">
        <is>
          <t>sliding</t>
        </is>
      </c>
      <c r="D373" t="n">
        <v>254</v>
      </c>
      <c r="E373" t="inlineStr">
        <is>
          <t>複合機（翻轉鋸或上方附台的斜切鋸）不收</t>
        </is>
      </c>
      <c r="F373" t="inlineStr">
        <is>
          <t>https://www.emag.ro/fierastrau-circular-2-in-1-cu-doua-functii-circular-pendulabil-si-stationar-cu-masa-powerplus-2000w-panza-254-mm-powx07583/pd/DZ0B7NMBM/</t>
        </is>
      </c>
      <c r="G373" t="inlineStr">
        <is>
          <t>RO</t>
        </is>
      </c>
    </row>
    <row r="374">
      <c r="A374" t="inlineStr">
        <is>
          <t>Powerplus</t>
        </is>
      </c>
      <c r="B374" t="inlineStr">
        <is>
          <t>POWX07587</t>
        </is>
      </c>
      <c r="C374" t="inlineStr">
        <is>
          <t>undetermined</t>
        </is>
      </c>
      <c r="D374" t="n">
        <v>254</v>
      </c>
      <c r="E374" t="inlineStr">
        <is>
          <t>產品線判不出（來源頁看不出有沒有滑軌）；複合機（翻轉鋸或上方附台的斜切鋸）不收；沒有可用的含稅售價</t>
        </is>
      </c>
      <c r="F374" t="inlineStr">
        <is>
          <t>https://www.amazon.de/Powerplus-Flipover-Kreissäge-Tischsäge-4-200/dp/B016181IPU</t>
        </is>
      </c>
      <c r="G374" t="inlineStr">
        <is>
          <t>DE</t>
        </is>
      </c>
    </row>
    <row r="375">
      <c r="A375" t="inlineStr">
        <is>
          <t>Pro Müller</t>
        </is>
      </c>
      <c r="B375" t="inlineStr"/>
      <c r="C375" t="inlineStr">
        <is>
          <t>compound</t>
        </is>
      </c>
      <c r="E375" t="inlineStr">
        <is>
          <t>來源頁看不到型號；來源頁看不到刀片直徑</t>
        </is>
      </c>
      <c r="F375" t="inlineStr">
        <is>
          <t>https://www.hepsiburada.com/pro-muller-alman-1100-watt-bakir-sargili-255-mm-90-acili-gonye-ahsap-metal-kesme-makinesi-pm-HBC0000C7IWAF</t>
        </is>
      </c>
      <c r="G375" t="inlineStr">
        <is>
          <t>TR</t>
        </is>
      </c>
    </row>
    <row r="376">
      <c r="A376" t="inlineStr">
        <is>
          <t>Procraft</t>
        </is>
      </c>
      <c r="B376" t="inlineStr">
        <is>
          <t>CMS-25</t>
        </is>
      </c>
      <c r="C376" t="inlineStr">
        <is>
          <t>compound</t>
        </is>
      </c>
      <c r="D376" t="n">
        <v>250</v>
      </c>
      <c r="E376" t="inlineStr">
        <is>
          <t>複合機（翻轉鋸或上方附台的斜切鋸）不收</t>
        </is>
      </c>
      <c r="F376" t="inlineStr">
        <is>
          <t>https://allo.ua/ua/torcovochnye-pily/kombinirovannaja-torcovochnaja-pila-procraft-cms-25-000251.html</t>
        </is>
      </c>
      <c r="G376" t="inlineStr">
        <is>
          <t>UA</t>
        </is>
      </c>
    </row>
    <row r="377">
      <c r="A377" t="inlineStr">
        <is>
          <t>Proter</t>
        </is>
      </c>
      <c r="B377" t="inlineStr">
        <is>
          <t>Pr 255 Plus</t>
        </is>
      </c>
      <c r="C377" t="inlineStr">
        <is>
          <t>compound</t>
        </is>
      </c>
      <c r="D377" t="n">
        <v>250</v>
      </c>
      <c r="E377" t="inlineStr">
        <is>
          <t>複合機（翻轉鋸或上方附台的斜切鋸）不收</t>
        </is>
      </c>
      <c r="F377" t="inlineStr">
        <is>
          <t>https://www.hepsiburada.com/proter-pr-255-plus-gonye-kesme-proter-1800-w-250-mm-pm-HBC000001RJKG</t>
        </is>
      </c>
      <c r="G377" t="inlineStr">
        <is>
          <t>TR</t>
        </is>
      </c>
    </row>
    <row r="378">
      <c r="A378" t="inlineStr">
        <is>
          <t>Proxxon</t>
        </is>
      </c>
      <c r="B378" t="inlineStr">
        <is>
          <t>FET</t>
        </is>
      </c>
      <c r="C378" t="inlineStr">
        <is>
          <t>table</t>
        </is>
      </c>
      <c r="E378" t="inlineStr">
        <is>
          <t>來源頁看不到刀片直徑</t>
        </is>
      </c>
      <c r="F378" t="inlineStr">
        <is>
          <t>https://www.galaxus.be/fr/s4/product/proxxon-fet-scie-circulaire-sur-table-5821882</t>
        </is>
      </c>
      <c r="G378" t="inlineStr">
        <is>
          <t>BE</t>
        </is>
      </c>
    </row>
    <row r="379">
      <c r="A379" t="inlineStr">
        <is>
          <t>Proxxon</t>
        </is>
      </c>
      <c r="B379" t="inlineStr">
        <is>
          <t>KGS 80</t>
        </is>
      </c>
      <c r="C379" t="inlineStr">
        <is>
          <t>compound</t>
        </is>
      </c>
      <c r="E379" t="inlineStr">
        <is>
          <t>來源頁看不到刀片直徑</t>
        </is>
      </c>
      <c r="F379" t="inlineStr">
        <is>
          <t>https://www.bauhaus.es/sierras-de-corte-tronzadoras-e-ingletadoras/proxxon-sierra-ingletadora-kgs-80/p/11196755</t>
        </is>
      </c>
      <c r="G379" t="inlineStr">
        <is>
          <t>ES</t>
        </is>
      </c>
    </row>
    <row r="380">
      <c r="A380" t="inlineStr">
        <is>
          <t>Proxxon</t>
        </is>
      </c>
      <c r="B380" t="inlineStr">
        <is>
          <t>KS 230</t>
        </is>
      </c>
      <c r="C380" t="inlineStr">
        <is>
          <t>table</t>
        </is>
      </c>
      <c r="D380" t="n">
        <v>58</v>
      </c>
      <c r="E380" t="inlineStr">
        <is>
          <t>刀片直徑不在 222～267 mm</t>
        </is>
      </c>
      <c r="F380" t="inlineStr">
        <is>
          <t>https://www.hornbach.de/p/tischkreissaege-proxxon-ks-230/3845141/</t>
        </is>
      </c>
      <c r="G380" t="inlineStr">
        <is>
          <t>DE</t>
        </is>
      </c>
    </row>
    <row r="381">
      <c r="A381" t="inlineStr">
        <is>
          <t>Raimondi</t>
        </is>
      </c>
      <c r="B381" t="inlineStr">
        <is>
          <t>RA433BCOH Perform 45</t>
        </is>
      </c>
      <c r="C381" t="inlineStr">
        <is>
          <t>table</t>
        </is>
      </c>
      <c r="E381" t="inlineStr">
        <is>
          <t>來源頁看不到刀片直徑；交期 10 天以上（Livré entre mer, 9/12 et mer, 23/12）</t>
        </is>
      </c>
      <c r="F381" t="inlineStr">
        <is>
          <t>https://www.galaxus.be/fr/s4/product/raimondi-ra433bcoh-perform-45-scie-circulaire-sur-table-35634687</t>
        </is>
      </c>
      <c r="G381" t="inlineStr">
        <is>
          <t>BE</t>
        </is>
      </c>
    </row>
    <row r="382">
      <c r="A382" t="inlineStr">
        <is>
          <t>Record Power</t>
        </is>
      </c>
      <c r="B382" t="inlineStr">
        <is>
          <t>TS250RS</t>
        </is>
      </c>
      <c r="C382" t="inlineStr">
        <is>
          <t>table</t>
        </is>
      </c>
      <c r="D382" t="n">
        <v>250</v>
      </c>
      <c r="E382" t="inlineStr">
        <is>
          <t>套裝價（含其他物品），不算機台價（10-19 表單）</t>
        </is>
      </c>
      <c r="F382" t="inlineStr">
        <is>
          <t>https://www.recordpower.co.uk/product/ts250rs-saw-package-deal</t>
        </is>
      </c>
      <c r="G382" t="inlineStr">
        <is>
          <t>GB</t>
        </is>
      </c>
    </row>
    <row r="383">
      <c r="A383" t="inlineStr">
        <is>
          <t>RTRMAX</t>
        </is>
      </c>
      <c r="B383" t="inlineStr">
        <is>
          <t>RTM623</t>
        </is>
      </c>
      <c r="C383" t="inlineStr">
        <is>
          <t>compound</t>
        </is>
      </c>
      <c r="D383" t="n">
        <v>250</v>
      </c>
      <c r="E383" t="inlineStr">
        <is>
          <t>複合機（翻轉鋸或上方附台的斜切鋸）不收</t>
        </is>
      </c>
      <c r="F383" t="inlineStr">
        <is>
          <t>https://www.idefix.com/rtrmax-rtm623-gonye-kesme-ustten-tablali-1800w-p-7640830</t>
        </is>
      </c>
      <c r="G383" t="inlineStr">
        <is>
          <t>TR</t>
        </is>
      </c>
    </row>
    <row r="384">
      <c r="A384" t="inlineStr">
        <is>
          <t>RTRMAX</t>
        </is>
      </c>
      <c r="B384" t="inlineStr">
        <is>
          <t>RTM6230</t>
        </is>
      </c>
      <c r="C384" t="inlineStr">
        <is>
          <t>compound</t>
        </is>
      </c>
      <c r="D384" t="n">
        <v>254</v>
      </c>
      <c r="E384" t="inlineStr">
        <is>
          <t>複合機（翻轉鋸或上方附台的斜切鋸）不收</t>
        </is>
      </c>
      <c r="F384" t="inlineStr">
        <is>
          <t>https://www.idefix.com/rtrmax-rtm6230-ustten-tablali-gonye-testere-2000-w-254-mm-p-12527013</t>
        </is>
      </c>
      <c r="G384" t="inlineStr">
        <is>
          <t>TR</t>
        </is>
      </c>
    </row>
    <row r="385">
      <c r="A385" t="inlineStr">
        <is>
          <t>Ryobi</t>
        </is>
      </c>
      <c r="B385" t="inlineStr"/>
      <c r="C385" t="inlineStr">
        <is>
          <t>sliding</t>
        </is>
      </c>
      <c r="D385" t="n">
        <v>254</v>
      </c>
      <c r="E385" t="inlineStr">
        <is>
          <t>來源頁看不到型號</t>
        </is>
      </c>
      <c r="F385" t="inlineStr">
        <is>
          <t>https://www.monter.no/verktoy/el-verktoy/sag/kapp-og-gjarsag/kapp-og-gjarsag-18-volt-254-mm</t>
        </is>
      </c>
      <c r="G385" t="inlineStr">
        <is>
          <t>NO</t>
        </is>
      </c>
    </row>
    <row r="386">
      <c r="A386" t="inlineStr">
        <is>
          <t>Ryobi</t>
        </is>
      </c>
      <c r="B386" t="inlineStr"/>
      <c r="C386" t="inlineStr">
        <is>
          <t>undetermined</t>
        </is>
      </c>
      <c r="E386" t="inlineStr">
        <is>
          <t>來源頁看不到型號；來源頁看不到刀片直徑；產品線判不出（來源頁看不出有沒有滑軌）</t>
        </is>
      </c>
      <c r="F386" t="inlineStr">
        <is>
          <t>https://www.galaxus.nl/nl/s4/product/ryobi-accu-afkortzaag-verstekzaag-radiale-snijders-32324492</t>
        </is>
      </c>
      <c r="G386" t="inlineStr">
        <is>
          <t>NL</t>
        </is>
      </c>
    </row>
    <row r="387">
      <c r="A387" t="inlineStr">
        <is>
          <t>Ryobi</t>
        </is>
      </c>
      <c r="B387" t="inlineStr">
        <is>
          <t>EMS216L</t>
        </is>
      </c>
      <c r="C387" t="inlineStr">
        <is>
          <t>sliding</t>
        </is>
      </c>
      <c r="D387" t="n">
        <v>216</v>
      </c>
      <c r="E387" t="inlineStr">
        <is>
          <t>刀片直徑不在 222～267 mm；交期 10 天以上（Consegna stimata 05/11/2026 - 09/11/2026）</t>
        </is>
      </c>
      <c r="F387" t="inlineStr">
        <is>
          <t>https://www.mediaworld.it/it/product/_tagliasiepi-ryobi-ems216l-1200-w-5000-girimin-158581724.html</t>
        </is>
      </c>
      <c r="G387" t="inlineStr">
        <is>
          <t>IT</t>
        </is>
      </c>
    </row>
    <row r="388">
      <c r="A388" t="inlineStr">
        <is>
          <t>Ryobi</t>
        </is>
      </c>
      <c r="B388" t="inlineStr">
        <is>
          <t>R18MS216-0</t>
        </is>
      </c>
      <c r="C388" t="inlineStr">
        <is>
          <t>sliding</t>
        </is>
      </c>
      <c r="D388" t="n">
        <v>216</v>
      </c>
      <c r="E388" t="inlineStr">
        <is>
          <t>刀片直徑不在 222～267 mm</t>
        </is>
      </c>
      <c r="F388" t="inlineStr">
        <is>
          <t>https://www.castorama.fr/mkp/scie-onglet-radiale-ryobi-18v-one-plus-sans-batterie-ni-chargeur-r18ms216-0/4892210156952_CAFR.prd</t>
        </is>
      </c>
      <c r="G388" t="inlineStr">
        <is>
          <t>FR</t>
        </is>
      </c>
    </row>
    <row r="389">
      <c r="A389" t="inlineStr">
        <is>
          <t>Ryobi</t>
        </is>
      </c>
      <c r="B389" t="inlineStr">
        <is>
          <t>RTMS1800</t>
        </is>
      </c>
      <c r="C389" t="inlineStr">
        <is>
          <t>undetermined</t>
        </is>
      </c>
      <c r="E389" t="inlineStr">
        <is>
          <t>來源頁看不到刀片直徑；產品線判不出（來源頁看不出有沒有滑軌）；複合機（翻轉鋸或上方附台的斜切鋸）不收</t>
        </is>
      </c>
      <c r="F389" t="inlineStr">
        <is>
          <t>https://www.castorama.fr/scie-combinee-table-et-onglet-ryobi-rtms1800-1800w/4892210128225_CAFR.prd</t>
        </is>
      </c>
      <c r="G389" t="inlineStr">
        <is>
          <t>FR</t>
        </is>
      </c>
    </row>
    <row r="390">
      <c r="A390" t="inlineStr">
        <is>
          <t>Ryobi</t>
        </is>
      </c>
      <c r="B390" t="inlineStr">
        <is>
          <t>RTMS1800-G</t>
        </is>
      </c>
      <c r="C390" t="inlineStr">
        <is>
          <t>table</t>
        </is>
      </c>
      <c r="D390" t="n">
        <v>254</v>
      </c>
      <c r="E390" t="inlineStr">
        <is>
          <t>複合機（翻轉鋸或上方附台的斜切鋸）不收</t>
        </is>
      </c>
      <c r="F390" t="inlineStr">
        <is>
          <t>https://www.bauhaus.sk/ryobi-pila-na-drevene-dosky-rtms1800-g-25716230</t>
        </is>
      </c>
      <c r="G390" t="inlineStr">
        <is>
          <t>SK</t>
        </is>
      </c>
    </row>
    <row r="391">
      <c r="A391" t="inlineStr">
        <is>
          <t>Ryobi</t>
        </is>
      </c>
      <c r="B391" t="inlineStr">
        <is>
          <t>RTS1800ES-G</t>
        </is>
      </c>
      <c r="C391" t="inlineStr">
        <is>
          <t>table</t>
        </is>
      </c>
      <c r="D391" t="n">
        <v>254</v>
      </c>
      <c r="E391" t="inlineStr">
        <is>
          <t>只有缺貨的價格</t>
        </is>
      </c>
      <c r="F391" t="inlineStr">
        <is>
          <t>https://toom.de/p/elektro-tischkreissaege-rts1800es-g-254-mm/1490817</t>
        </is>
      </c>
      <c r="G391" t="inlineStr">
        <is>
          <t>DE</t>
        </is>
      </c>
    </row>
    <row r="392">
      <c r="A392" t="inlineStr">
        <is>
          <t>Scheppach</t>
        </is>
      </c>
      <c r="B392" t="inlineStr"/>
      <c r="C392" t="inlineStr">
        <is>
          <t>sliding</t>
        </is>
      </c>
      <c r="D392" t="n">
        <v>254</v>
      </c>
      <c r="E392" t="inlineStr">
        <is>
          <t>來源頁看不到型號；套裝價（含其他物品），不算機台價（10-19 表單）</t>
        </is>
      </c>
      <c r="F392" t="inlineStr">
        <is>
          <t>https://www.ebay.de/itm/144307175513?_skw=Scheppach+HM254&amp;epid=10032166025&amp;itmmeta=01M5AGCRXZV9E7SVKXB19CY2NN&amp;hash=item219960c059:g:E8UAAOSwcMJhoMqU&amp;itmprp=enc%3AAQALAAAA0CHNgUiiE%2FjQhlDTaMiAde9dxyk3hUoSQQDQSNOKNgaC9dYmNTy%2FBSl6I4TBcL%2B1YXQJTtvcFt7zHzGQIbb8Qqi%2FxKC6lQyr%2BxiNWv7HzKPrhF6N6mNKZpV%2FKxSNUOBBX6JdW%2BYNzBwedXard7%2BWC47%2FQEo%2FIJm1eFnan4AVFtHZqczEkgaEMrOMdtNB8DaWRIMoH0v76RSQuUTrbmlzmSHlHdE5uSACgciG8lEb%2FR9uVMbzk6%2Be91q8BOUg9miJWXNeoXUq8qfRvadx%2FMdd9CE%3D%7Ctkp%3ABk9SR6yPs9CqaA</t>
        </is>
      </c>
      <c r="G392" t="inlineStr">
        <is>
          <t>DE</t>
        </is>
      </c>
    </row>
    <row r="393">
      <c r="A393" t="inlineStr">
        <is>
          <t>Scheppach</t>
        </is>
      </c>
      <c r="B393" t="inlineStr"/>
      <c r="C393" t="inlineStr">
        <is>
          <t>sliding</t>
        </is>
      </c>
      <c r="D393" t="n">
        <v>254</v>
      </c>
      <c r="E393" t="inlineStr">
        <is>
          <t>來源頁看不到型號；套裝價（含其他物品），不算機台價（10-19 表單）</t>
        </is>
      </c>
      <c r="F393" t="inlineStr">
        <is>
          <t>https://www.ebay.de/itm/144307176439?_skw=Scheppach+HM254&amp;epid=10032166025&amp;itmmeta=01M5AGCRY6BWYTJ6JQYY5HGP35&amp;hash=item219960c3f7:g:dZ8AAOSwvEphoMsm&amp;itmprp=enc%3AAQALAAAA8CHNgUiiE%2FjQhlDTaMiAde%2B1TJUDN63p3YvOybh4dUPonE0qkOzXeBqVWWV1ToA1cNBWpsDvS0bedFJ8yiT4RDXI9Nmt2Xc4jrCu02Xx6hrfmDkbqMZSpWmbjPjH1cc86ekmy15pMRRIlLzR5XIVgs%2FsyHeUP0L1NHzWgsw%2FuETdsDASRhq5FMalGYSMX%2Fo5mv7JD88XKUaGeOIZxN43wV97r%2BCSdOYzMGjQtesBx5PCV1pK%2F8rFS0pQzppnE0vuIFRiPz85%2F8q0rvZfEgPEhVvircKvzhFGa6XvJl%2Be458SH9B0KAMyb0PcsA5IYXKWUA%3D%3D%7Ctkp%3ABk9SR7qPs9CqaA</t>
        </is>
      </c>
      <c r="G393" t="inlineStr">
        <is>
          <t>DE</t>
        </is>
      </c>
    </row>
    <row r="394">
      <c r="A394" t="inlineStr">
        <is>
          <t>Scheppach</t>
        </is>
      </c>
      <c r="B394" t="inlineStr"/>
      <c r="C394" t="inlineStr">
        <is>
          <t>sliding</t>
        </is>
      </c>
      <c r="D394" t="n">
        <v>254</v>
      </c>
      <c r="E394" t="inlineStr">
        <is>
          <t>來源頁看不到型號；套裝價（含其他物品），不算機台價（10-19 表單）</t>
        </is>
      </c>
      <c r="F394" t="inlineStr">
        <is>
          <t>https://www.ebay.de/itm/165203306664?_skw=Scheppach+HM254&amp;epid=10032166025&amp;itmmeta=01M5AGCRY7RR9QJTV77ZEX1JE4&amp;hash=item2676e268a8:g:KLwAAOSwq3FhoMp0&amp;itmprp=enc%3AAQALAAAA0CHNgUiiE%2FjQhlDTaMiAde%2FMDCLGYW4e0QQbyzb2nHo2OtlAuZqsOHLx0zDDQPbnO12moE3QUZ%2BKtifrAa3JYz9nzZTGA%2FQwaX4%2BX%2FjEneJ4moYBSs%2F6vUX9ThIvp%2BLT6H4p4M6QX%2BX26guuWE3zT7kqQ8X2sWzo8d%2FSWG01Bq69TA3Z%2FWLJonZ2zvuAMlkZXzsqL%2FRsywKK%2BwwFGcBViLTEl5W0tE20enQFHs7xntpLv3qQdDzjskwI2y92P8BTdQe%2Bchg%2FBOLLcLv2MEJfv60%3D%7Ctkp%3ABk9SR7qPs9CqaA</t>
        </is>
      </c>
      <c r="G394" t="inlineStr">
        <is>
          <t>DE</t>
        </is>
      </c>
    </row>
    <row r="395">
      <c r="A395" t="inlineStr">
        <is>
          <t>Scheppach</t>
        </is>
      </c>
      <c r="B395" t="inlineStr"/>
      <c r="C395" t="inlineStr">
        <is>
          <t>sliding</t>
        </is>
      </c>
      <c r="D395" t="n">
        <v>254</v>
      </c>
      <c r="E395" t="inlineStr">
        <is>
          <t>來源頁看不到型號</t>
        </is>
      </c>
      <c r="F395" t="inlineStr">
        <is>
          <t>https://www.galaxus.nl/nl/s4/product/scheppach-afkort-trekzaag-254-mm-incl-2e-zaagblad-radiale-snijders-25247774</t>
        </is>
      </c>
      <c r="G395" t="inlineStr">
        <is>
          <t>NL</t>
        </is>
      </c>
    </row>
    <row r="396">
      <c r="A396" t="inlineStr">
        <is>
          <t>Scheppach</t>
        </is>
      </c>
      <c r="B396" t="inlineStr"/>
      <c r="C396" t="inlineStr">
        <is>
          <t>compound</t>
        </is>
      </c>
      <c r="E396" t="inlineStr">
        <is>
          <t>來源頁看不到型號；來源頁看不到刀片直徑；交期 10 天以上（Livré entre jeu, 12/11 et mar, 24/11）</t>
        </is>
      </c>
      <c r="F396" t="inlineStr">
        <is>
          <t>https://www.galaxus.be/fr/s4/product/scheppach-scie-a-onglets-scie-a-onglet-23238301</t>
        </is>
      </c>
      <c r="G396" t="inlineStr">
        <is>
          <t>BE</t>
        </is>
      </c>
    </row>
    <row r="397">
      <c r="A397" t="inlineStr">
        <is>
          <t>Scheppach</t>
        </is>
      </c>
      <c r="B397" t="inlineStr"/>
      <c r="C397" t="inlineStr">
        <is>
          <t>sliding</t>
        </is>
      </c>
      <c r="D397" t="n">
        <v>254</v>
      </c>
      <c r="E397" t="inlineStr">
        <is>
          <t>來源頁看不到型號；套裝價（含其他物品），不算機台價（10-19 表單）</t>
        </is>
      </c>
      <c r="F397" t="inlineStr">
        <is>
          <t>https://www.cdiscount.com/bricolage/outillage/scheppach-scie--onglets/f-166010106-aadlc51428.html</t>
        </is>
      </c>
      <c r="G397" t="inlineStr">
        <is>
          <t>FR</t>
        </is>
      </c>
    </row>
    <row r="398">
      <c r="A398" t="inlineStr">
        <is>
          <t>Scheppach</t>
        </is>
      </c>
      <c r="B398" t="inlineStr">
        <is>
          <t>HM210L</t>
        </is>
      </c>
      <c r="C398" t="inlineStr">
        <is>
          <t>compound</t>
        </is>
      </c>
      <c r="D398" t="n">
        <v>210</v>
      </c>
      <c r="E398" t="inlineStr">
        <is>
          <t>刀片直徑不在 222～267 mm；交期 10 天以上（Livré entre ven, 13/11 et mer, 25/11）</t>
        </is>
      </c>
      <c r="F398" t="inlineStr">
        <is>
          <t>https://www.galaxus.be/fr/s4/product/scheppach-hm210l-scie-a-onglet-41969382</t>
        </is>
      </c>
      <c r="G398" t="inlineStr">
        <is>
          <t>BE</t>
        </is>
      </c>
    </row>
    <row r="399">
      <c r="A399" t="inlineStr">
        <is>
          <t>Scheppach</t>
        </is>
      </c>
      <c r="B399" t="inlineStr">
        <is>
          <t>HM216</t>
        </is>
      </c>
      <c r="C399" t="inlineStr">
        <is>
          <t>sliding</t>
        </is>
      </c>
      <c r="D399" t="n">
        <v>216</v>
      </c>
      <c r="E399" t="inlineStr">
        <is>
          <t>刀片直徑不在 222～267 mm</t>
        </is>
      </c>
      <c r="F399" t="inlineStr">
        <is>
          <t>https://www.obi.at/p/3549565/scheppach-kapp-zug-und-gehrungssaege-hm216</t>
        </is>
      </c>
      <c r="G399" t="inlineStr">
        <is>
          <t>AT</t>
        </is>
      </c>
    </row>
    <row r="400">
      <c r="A400" t="inlineStr">
        <is>
          <t>Scheppach</t>
        </is>
      </c>
      <c r="B400" t="inlineStr">
        <is>
          <t>HM216SPX</t>
        </is>
      </c>
      <c r="C400" t="inlineStr">
        <is>
          <t>sliding</t>
        </is>
      </c>
      <c r="D400" t="n">
        <v>210</v>
      </c>
      <c r="E400" t="inlineStr">
        <is>
          <t>刀片直徑不在 222～267 mm；沒有可用的含稅售價</t>
        </is>
      </c>
      <c r="F400" t="inlineStr">
        <is>
          <t>https://www.praxis.nl/gereedschap-werkplaats/elektrisch-gereedschap/zaagmachines/afkortzagen/scheppach-kap-en-trekzaag-hm216spx/10234344</t>
        </is>
      </c>
      <c r="G400" t="inlineStr">
        <is>
          <t>NL</t>
        </is>
      </c>
    </row>
    <row r="401">
      <c r="A401" t="inlineStr">
        <is>
          <t>Scheppach</t>
        </is>
      </c>
      <c r="B401" t="inlineStr">
        <is>
          <t>HM305SL</t>
        </is>
      </c>
      <c r="C401" t="inlineStr">
        <is>
          <t>sliding</t>
        </is>
      </c>
      <c r="D401" t="n">
        <v>305</v>
      </c>
      <c r="E401" t="inlineStr">
        <is>
          <t>刀片直徑不在 222～267 mm</t>
        </is>
      </c>
      <c r="F401" t="inlineStr">
        <is>
          <t>https://www.praxis.nl/gereedschap-werkplaats/elektrisch-gereedschap/zaagmachines/afkortzagen/scheppach-kap-en-trekzaag-hm305sl/10485536</t>
        </is>
      </c>
      <c r="G401" t="inlineStr">
        <is>
          <t>NL</t>
        </is>
      </c>
    </row>
    <row r="402">
      <c r="A402" t="inlineStr">
        <is>
          <t>Scheppach</t>
        </is>
      </c>
      <c r="B402" t="inlineStr">
        <is>
          <t>HS120O</t>
        </is>
      </c>
      <c r="C402" t="inlineStr">
        <is>
          <t>table</t>
        </is>
      </c>
      <c r="D402" t="n">
        <v>315</v>
      </c>
      <c r="E402" t="inlineStr">
        <is>
          <t>刀片直徑不在 222～267 mm</t>
        </is>
      </c>
      <c r="F402" t="inlineStr">
        <is>
          <t>https://www.leroymerlin.it/prodotti/scheppach-banco-sega-hs120o-230v-mod-sch3901302915-ean-4046664004929-82388497.html</t>
        </is>
      </c>
      <c r="G402" t="inlineStr">
        <is>
          <t>IT</t>
        </is>
      </c>
    </row>
    <row r="403">
      <c r="A403" t="inlineStr">
        <is>
          <t>Scheppach</t>
        </is>
      </c>
      <c r="B403" t="inlineStr">
        <is>
          <t>HS210</t>
        </is>
      </c>
      <c r="C403" t="inlineStr">
        <is>
          <t>table</t>
        </is>
      </c>
      <c r="D403" t="n">
        <v>210</v>
      </c>
      <c r="E403" t="inlineStr">
        <is>
          <t>刀片直徑不在 222～267 mm；交期 10 天以上（9 - 14 November）</t>
        </is>
      </c>
      <c r="F403" t="inlineStr">
        <is>
          <t>https://www.amazon.ie/Scheppach-Table-saw-HS210-1500-230/dp/B0DFH48P5N/ref=sr_1_24?dib=eyJ2IjoiMSJ9.xscnU1bpAzj-twxiMd1XR6YNSl-XpqH0XQE7RKWk61SuYwULZEE5ijURgHQijFg-mZopG85WPivdEXVm_x0L-32Mvbp03a7IzTNGJO7o-kfD41AYLW_nBgZaTp6aI8iGAHaOzV1g5TgT8qmkdp5U_RUc64SGZ8QqJNlo1xRlc45nP6lNd5ixNXqIiAQbeUVAQVHZHL8l5ksf9lDVepobIHRhW_SWYbLmBMqtS2m3layDn4PrhUr4pctvKMdFOyx8thWxQ1iYMwB7XCBsa3vOrmwGvjXH3hDck0hw8dTx7mA.NM_aweXK58eUegPdv9CDEfZgFSQmYv73SWD1p_rkHe0&amp;dib_tag=se&amp;keywords=table+saw&amp;qid=1792548246&amp;sr=8-24</t>
        </is>
      </c>
      <c r="G403" t="inlineStr">
        <is>
          <t>IE</t>
        </is>
      </c>
    </row>
    <row r="404">
      <c r="A404" t="inlineStr">
        <is>
          <t>Scheppach</t>
        </is>
      </c>
      <c r="B404" t="inlineStr">
        <is>
          <t>HS250L SE</t>
        </is>
      </c>
      <c r="C404" t="inlineStr">
        <is>
          <t>table</t>
        </is>
      </c>
      <c r="D404" t="n">
        <v>254</v>
      </c>
      <c r="E404" t="inlineStr">
        <is>
          <t>找不到經目視確認、對應這台機器的商品圖：圖片網址已失效（404）</t>
        </is>
      </c>
      <c r="F404" t="inlineStr">
        <is>
          <t>https://shop.scheppach.com/Tischkreissaege-HS250L-SE-Scheppach-2000W-87mm-Schnitthoehe-546-x-630mm-Tisch-Laser-inkl.-2.-Saegeblaetter-24Z/5901319901</t>
        </is>
      </c>
      <c r="G404" t="inlineStr">
        <is>
          <t>DE</t>
        </is>
      </c>
    </row>
    <row r="405">
      <c r="A405" t="inlineStr">
        <is>
          <t>Scheppach</t>
        </is>
      </c>
      <c r="B405" t="inlineStr">
        <is>
          <t>HS80</t>
        </is>
      </c>
      <c r="C405" t="inlineStr">
        <is>
          <t>table</t>
        </is>
      </c>
      <c r="E405" t="inlineStr">
        <is>
          <t>來源頁看不到刀片直徑</t>
        </is>
      </c>
      <c r="F405" t="inlineStr">
        <is>
          <t>https://www.obi.at/p/8683609/scheppach-tischkreissaege-hs80</t>
        </is>
      </c>
      <c r="G405" t="inlineStr">
        <is>
          <t>AT</t>
        </is>
      </c>
    </row>
    <row r="406">
      <c r="A406" t="inlineStr">
        <is>
          <t>Scheppach</t>
        </is>
      </c>
      <c r="B406" t="inlineStr">
        <is>
          <t>KZS254UG</t>
        </is>
      </c>
      <c r="C406" t="inlineStr">
        <is>
          <t>sliding</t>
        </is>
      </c>
      <c r="D406" t="n">
        <v>255</v>
      </c>
      <c r="E406" t="inlineStr">
        <is>
          <t>只有缺貨的價格</t>
        </is>
      </c>
      <c r="F406" t="inlineStr">
        <is>
          <t>https://shop.scheppach.com/Kappzugsaege-KZS254UG-IXES-2000W-340mm-Schnittbreite-90mm-Schnitthoehe-48Z-HW-Saegeblatt-inkl.-Laser-Untergestell/39012299969</t>
        </is>
      </c>
      <c r="G406" t="inlineStr">
        <is>
          <t>DE</t>
        </is>
      </c>
    </row>
    <row r="407">
      <c r="A407" t="inlineStr">
        <is>
          <t>Scheppach</t>
        </is>
      </c>
      <c r="B407" t="inlineStr">
        <is>
          <t>MBS1200</t>
        </is>
      </c>
      <c r="C407" t="inlineStr">
        <is>
          <t>undetermined</t>
        </is>
      </c>
      <c r="E407" t="inlineStr">
        <is>
          <t>來源頁看不到刀片直徑；產品線判不出（來源頁看不出有沒有滑軌）</t>
        </is>
      </c>
      <c r="F407" t="inlineStr">
        <is>
          <t>https://www.praxis.nl/gereedschap-werkplaats/elektrisch-gereedschap/zaagmachines/metaal-afkortzagen/scheppach-metaalbandzaagmachine-mbs1200/10476559</t>
        </is>
      </c>
      <c r="G407" t="inlineStr">
        <is>
          <t>NL</t>
        </is>
      </c>
    </row>
    <row r="408">
      <c r="A408" t="inlineStr">
        <is>
          <t>Scheppach</t>
        </is>
      </c>
      <c r="B408" t="inlineStr">
        <is>
          <t>MST216</t>
        </is>
      </c>
      <c r="C408" t="inlineStr">
        <is>
          <t>sliding</t>
        </is>
      </c>
      <c r="D408" t="n">
        <v>216</v>
      </c>
      <c r="E408" t="inlineStr">
        <is>
          <t>刀片直徑不在 222～267 mm</t>
        </is>
      </c>
      <c r="F408" t="inlineStr">
        <is>
          <t>https://toom.de/p/kapp-und-zugsaege-mst-216-black-edition-2000-w-mit-2-saegeblaettern/1501715</t>
        </is>
      </c>
      <c r="G408" t="inlineStr">
        <is>
          <t>DE</t>
        </is>
      </c>
    </row>
    <row r="409">
      <c r="A409" t="inlineStr">
        <is>
          <t>Scheppach</t>
        </is>
      </c>
      <c r="B409" t="inlineStr">
        <is>
          <t>MT210</t>
        </is>
      </c>
      <c r="C409" t="inlineStr">
        <is>
          <t>compound</t>
        </is>
      </c>
      <c r="D409" t="n">
        <v>210</v>
      </c>
      <c r="E409" t="inlineStr">
        <is>
          <t>刀片直徑不在 222～267 mm</t>
        </is>
      </c>
      <c r="F409" t="inlineStr">
        <is>
          <t>https://toom.de/p/kapp-und-gehrungssaege-mt-210-black-edition-1500-w-mit-2-saegeblaettern/1501714</t>
        </is>
      </c>
      <c r="G409" t="inlineStr">
        <is>
          <t>DE</t>
        </is>
      </c>
    </row>
    <row r="410">
      <c r="A410" t="inlineStr">
        <is>
          <t>Schutzenger</t>
        </is>
      </c>
      <c r="B410" t="inlineStr">
        <is>
          <t>BHD558</t>
        </is>
      </c>
      <c r="C410" t="inlineStr">
        <is>
          <t>sliding</t>
        </is>
      </c>
      <c r="E410" t="inlineStr">
        <is>
          <t>來源頁看不到刀片直徑</t>
        </is>
      </c>
      <c r="F410" t="inlineStr">
        <is>
          <t>https://www.hepsiburada.com/bhd558-2000w-255-mm-surgulu-gonye-kesme-makinesi-40-dis-testere-4500-rpm-mavi-pm-HBC0000LKA4WC</t>
        </is>
      </c>
      <c r="G410" t="inlineStr">
        <is>
          <t>TR</t>
        </is>
      </c>
    </row>
    <row r="411">
      <c r="A411" t="inlineStr">
        <is>
          <t>Skil</t>
        </is>
      </c>
      <c r="B411" t="inlineStr"/>
      <c r="C411" t="inlineStr">
        <is>
          <t>compound</t>
        </is>
      </c>
      <c r="D411" t="n">
        <v>254</v>
      </c>
      <c r="E411" t="inlineStr">
        <is>
          <t>來源頁看不到型號</t>
        </is>
      </c>
      <c r="F411" t="inlineStr">
        <is>
          <t>https://www.cdiscount.com/bricolage/outillage/scie--onglet-2000-w-254-mm--/f-166010106-aaduk49798.html</t>
        </is>
      </c>
      <c r="G411" t="inlineStr">
        <is>
          <t>FR</t>
        </is>
      </c>
    </row>
    <row r="412">
      <c r="A412" t="inlineStr">
        <is>
          <t>Skil</t>
        </is>
      </c>
      <c r="B412" t="inlineStr">
        <is>
          <t>1330AA</t>
        </is>
      </c>
      <c r="C412" t="inlineStr">
        <is>
          <t>table</t>
        </is>
      </c>
      <c r="E412" t="inlineStr">
        <is>
          <t>來源頁看不到刀片直徑；交期 10 天以上（Consegna tra ven, 6/11 e gio, 12/11）</t>
        </is>
      </c>
      <c r="F412" t="inlineStr">
        <is>
          <t>https://www.galaxus.it/it/s4/product/skil-1330aa-sega-circolare-da-tavolo-53484440</t>
        </is>
      </c>
      <c r="G412" t="inlineStr">
        <is>
          <t>IT</t>
        </is>
      </c>
    </row>
    <row r="413">
      <c r="A413" t="inlineStr">
        <is>
          <t>Specco</t>
        </is>
      </c>
      <c r="B413" t="inlineStr"/>
      <c r="C413" t="inlineStr">
        <is>
          <t>compound</t>
        </is>
      </c>
      <c r="D413" t="n">
        <v>255</v>
      </c>
      <c r="E413" t="inlineStr">
        <is>
          <t>來源頁看不到型號</t>
        </is>
      </c>
      <c r="F413" t="inlineStr">
        <is>
          <t>https://www.hepsiburada.com/2000-w-gonye-kesme-255-mm-pm-HBC0000CLZO3R</t>
        </is>
      </c>
      <c r="G413" t="inlineStr">
        <is>
          <t>TR</t>
        </is>
      </c>
    </row>
    <row r="414">
      <c r="A414" t="inlineStr">
        <is>
          <t>Specco</t>
        </is>
      </c>
      <c r="B414" t="inlineStr">
        <is>
          <t>XSP-9061</t>
        </is>
      </c>
      <c r="C414" t="inlineStr">
        <is>
          <t>sliding</t>
        </is>
      </c>
      <c r="D414" t="n">
        <v>254</v>
      </c>
      <c r="E414" t="inlineStr">
        <is>
          <t>找不到經目視確認、對應這台機器的商品圖：圖被裁切、看不到品牌</t>
        </is>
      </c>
      <c r="F414" t="inlineStr">
        <is>
          <t>https://www.idefix.com/specco-xsp-9061-radyal-gonye-kesme-254mm-p-24995392</t>
        </is>
      </c>
      <c r="G414" t="inlineStr">
        <is>
          <t>TR</t>
        </is>
      </c>
    </row>
    <row r="415">
      <c r="A415" t="inlineStr">
        <is>
          <t>Stanley</t>
        </is>
      </c>
      <c r="B415" t="inlineStr"/>
      <c r="C415" t="inlineStr">
        <is>
          <t>compound</t>
        </is>
      </c>
      <c r="E415" t="inlineStr">
        <is>
          <t>來源頁看不到型號；來源頁看不到刀片直徑</t>
        </is>
      </c>
      <c r="F415" t="inlineStr">
        <is>
          <t>https://www.elcorteingles.es/bricor/A49875260-ingletadora-1500w/</t>
        </is>
      </c>
      <c r="G415" t="inlineStr">
        <is>
          <t>ES</t>
        </is>
      </c>
    </row>
    <row r="416">
      <c r="A416" t="inlineStr">
        <is>
          <t>Stanley</t>
        </is>
      </c>
      <c r="B416" t="inlineStr"/>
      <c r="C416" t="inlineStr">
        <is>
          <t>compound</t>
        </is>
      </c>
      <c r="D416" t="n">
        <v>254</v>
      </c>
      <c r="E416" t="inlineStr">
        <is>
          <t>來源頁看不到型號</t>
        </is>
      </c>
      <c r="F416" t="inlineStr">
        <is>
          <t>https://www.argos.co.uk/product/4336880?clickSR=slp:term:mitre saw:6:9:1</t>
        </is>
      </c>
      <c r="G416" t="inlineStr">
        <is>
          <t>GB</t>
        </is>
      </c>
    </row>
    <row r="417">
      <c r="A417" t="inlineStr">
        <is>
          <t>Stanley</t>
        </is>
      </c>
      <c r="B417" t="inlineStr">
        <is>
          <t>FME721SET-QS</t>
        </is>
      </c>
      <c r="C417" t="inlineStr">
        <is>
          <t>compound</t>
        </is>
      </c>
      <c r="D417" t="n">
        <v>216</v>
      </c>
      <c r="E417" t="inlineStr">
        <is>
          <t>刀片直徑不在 222～267 mm；沒有可用的含稅售價</t>
        </is>
      </c>
      <c r="F417" t="inlineStr">
        <is>
          <t>https://www.praxis.nl/gereedschap-werkplaats/elektrisch-gereedschap/zaagmachines/afkortzagen/stanley-fatmax-afkortzaag-fme721set-qs-1500w-gesnoerd-met-lasergeleider/5570192</t>
        </is>
      </c>
      <c r="G417" t="inlineStr">
        <is>
          <t>NL</t>
        </is>
      </c>
    </row>
    <row r="418">
      <c r="A418" t="inlineStr">
        <is>
          <t>Stanley</t>
        </is>
      </c>
      <c r="B418" t="inlineStr">
        <is>
          <t>SFMCS701M1-QW</t>
        </is>
      </c>
      <c r="C418" t="inlineStr">
        <is>
          <t>undetermined</t>
        </is>
      </c>
      <c r="D418" t="n">
        <v>190</v>
      </c>
      <c r="E418" t="inlineStr">
        <is>
          <t>刀片直徑不在 222～267 mm；產品線判不出（來源頁看不出有沒有滑軌）</t>
        </is>
      </c>
      <c r="F418" t="inlineStr">
        <is>
          <t>https://www.praxis.nl/gereedschap-werkplaats/elektrisch-gereedschap/zaagmachines/afkortzagen/stanley-fatmax-afkortzaag-sfmcs701m1-qw-18v-accu-variabele-snelheid/10044018</t>
        </is>
      </c>
      <c r="G418" t="inlineStr">
        <is>
          <t>NL</t>
        </is>
      </c>
    </row>
    <row r="419">
      <c r="A419" t="inlineStr">
        <is>
          <t>Stanley</t>
        </is>
      </c>
      <c r="B419" t="inlineStr">
        <is>
          <t>SM1650-QS</t>
        </is>
      </c>
      <c r="C419" t="inlineStr">
        <is>
          <t>undetermined</t>
        </is>
      </c>
      <c r="D419" t="n">
        <v>254</v>
      </c>
      <c r="E419" t="inlineStr">
        <is>
          <t>產品線判不出（來源頁看不出有沒有滑軌）</t>
        </is>
      </c>
      <c r="F419" t="inlineStr">
        <is>
          <t>https://www.klium.nl/en/stanley-fatmax-sm1650-qs-254mm-1650w-sliding-compound-mitre-saw-sm1650-qs-181475</t>
        </is>
      </c>
      <c r="G419" t="inlineStr">
        <is>
          <t>NL</t>
        </is>
      </c>
    </row>
    <row r="420">
      <c r="A420" t="inlineStr">
        <is>
          <t>Stanley</t>
        </is>
      </c>
      <c r="B420" t="inlineStr">
        <is>
          <t>SST1800-QS</t>
        </is>
      </c>
      <c r="C420" t="inlineStr">
        <is>
          <t>table</t>
        </is>
      </c>
      <c r="D420" t="n">
        <v>254</v>
      </c>
      <c r="E420" t="inlineStr">
        <is>
          <t>找不到經目視確認、對應這台機器的商品圖：唯一售價頁 Klium 抓圖 403、沒有 og:image，沒有可目視的機台圖；下一輪補圖（2026-10-21）；10-21 補查官網與搜尋都沒有這個型號的商品圖</t>
        </is>
      </c>
      <c r="F420" t="inlineStr">
        <is>
          <t>https://www.klium.nl/en/stanley-fatmax-sst1800-qs-table-saw-254mm-1800w-sst1800-qs-181558</t>
        </is>
      </c>
      <c r="G420" t="inlineStr">
        <is>
          <t>NL</t>
        </is>
      </c>
    </row>
    <row r="421">
      <c r="A421" t="inlineStr">
        <is>
          <t>Stayer</t>
        </is>
      </c>
      <c r="B421" t="inlineStr">
        <is>
          <t>SC 250 W</t>
        </is>
      </c>
      <c r="C421" t="inlineStr">
        <is>
          <t>sliding</t>
        </is>
      </c>
      <c r="D421" t="n">
        <v>250</v>
      </c>
      <c r="E421" t="inlineStr">
        <is>
          <t>複合機（翻轉鋸或上方附台的斜切鋸）不收</t>
        </is>
      </c>
      <c r="F421" t="inlineStr">
        <is>
          <t>https://www.manomano.es/p/ingletadora-mesa-de-corte-sc-250-w-1800-w-stayer-2296995</t>
        </is>
      </c>
      <c r="G421" t="inlineStr">
        <is>
          <t>ES</t>
        </is>
      </c>
    </row>
    <row r="422">
      <c r="A422" t="inlineStr">
        <is>
          <t>Stayer</t>
        </is>
      </c>
      <c r="B422" t="inlineStr">
        <is>
          <t>SC250W PRO</t>
        </is>
      </c>
      <c r="C422" t="inlineStr">
        <is>
          <t>compound</t>
        </is>
      </c>
      <c r="D422" t="n">
        <v>254</v>
      </c>
      <c r="E422" t="inlineStr">
        <is>
          <t>複合機（翻轉鋸或上方附台的斜切鋸）不收</t>
        </is>
      </c>
      <c r="F422" t="inlineStr">
        <is>
          <t>https://www.skroutz.gr/s/9830145/Stayer-SC250W-PRO-Faltsopriono-Reymatos-1500W-Dyo-Ergasion-Diametrou-254mm.html</t>
        </is>
      </c>
      <c r="G422" t="inlineStr">
        <is>
          <t>GR</t>
        </is>
      </c>
    </row>
    <row r="423">
      <c r="A423" t="inlineStr">
        <is>
          <t>Stayer</t>
        </is>
      </c>
      <c r="B423" t="inlineStr">
        <is>
          <t>SC2600W</t>
        </is>
      </c>
      <c r="C423" t="inlineStr">
        <is>
          <t>compound</t>
        </is>
      </c>
      <c r="D423" t="n">
        <v>260</v>
      </c>
      <c r="E423" t="inlineStr">
        <is>
          <t>複合機（翻轉鋸或上方附台的斜切鋸）不收</t>
        </is>
      </c>
      <c r="F423" t="inlineStr">
        <is>
          <t>https://ferramentas.pt/serra-de-esquadria-combinada-260mm-stayer-sc2600w.html</t>
        </is>
      </c>
      <c r="G423" t="inlineStr">
        <is>
          <t>PT</t>
        </is>
      </c>
    </row>
    <row r="424">
      <c r="A424" t="inlineStr">
        <is>
          <t>Stayer</t>
        </is>
      </c>
      <c r="B424" t="inlineStr">
        <is>
          <t>SC265W</t>
        </is>
      </c>
      <c r="C424" t="inlineStr">
        <is>
          <t>compound</t>
        </is>
      </c>
      <c r="D424" t="n">
        <v>254</v>
      </c>
      <c r="E424" t="inlineStr">
        <is>
          <t>複合機（翻轉鋸或上方附台的斜切鋸）不收</t>
        </is>
      </c>
      <c r="F424" t="inlineStr">
        <is>
          <t>https://ferramentas.pt/serra-de-esquadria-combinada-254mm-stayer-sc265w.html</t>
        </is>
      </c>
      <c r="G424" t="inlineStr">
        <is>
          <t>PT</t>
        </is>
      </c>
    </row>
    <row r="425">
      <c r="A425" t="inlineStr">
        <is>
          <t>SucceBuy</t>
        </is>
      </c>
      <c r="B425" t="inlineStr"/>
      <c r="C425" t="inlineStr">
        <is>
          <t>table</t>
        </is>
      </c>
      <c r="E425" t="inlineStr">
        <is>
          <t>來源頁看不到型號；來源頁看不到刀片直徑</t>
        </is>
      </c>
      <c r="F425" t="inlineStr">
        <is>
          <t>https://www.darty.com/nav/achat/ref/MC353888695.html</t>
        </is>
      </c>
      <c r="G425" t="inlineStr">
        <is>
          <t>FR</t>
        </is>
      </c>
    </row>
    <row r="426">
      <c r="A426" t="inlineStr">
        <is>
          <t>SucceBuy</t>
        </is>
      </c>
      <c r="B426" t="inlineStr">
        <is>
          <t>M1H-ZP12-254A-1</t>
        </is>
      </c>
      <c r="C426" t="inlineStr">
        <is>
          <t>table</t>
        </is>
      </c>
      <c r="D426" t="n">
        <v>254</v>
      </c>
      <c r="E426" t="inlineStr">
        <is>
          <t>找不到經目視確認、對應這台機器的商品圖：Darty 存檔沒有可用的商品圖網址；下一輪補圖（2026-10-21）</t>
        </is>
      </c>
      <c r="F426" t="inlineStr">
        <is>
          <t>https://www.darty.com/nav/achat/ref/MC353888712.html</t>
        </is>
      </c>
      <c r="G426" t="inlineStr">
        <is>
          <t>FR</t>
        </is>
      </c>
    </row>
    <row r="427">
      <c r="A427" t="inlineStr">
        <is>
          <t>SwitZer</t>
        </is>
      </c>
      <c r="B427" t="inlineStr"/>
      <c r="C427" t="inlineStr">
        <is>
          <t>sliding</t>
        </is>
      </c>
      <c r="D427" t="n">
        <v>255</v>
      </c>
      <c r="E427" t="inlineStr">
        <is>
          <t>來源頁看不到型號；只有缺貨的價格</t>
        </is>
      </c>
      <c r="F427" t="inlineStr">
        <is>
          <t>https://www.therange.co.uk/diy/power-tools/saws-sanders-and-jigsaws/switzer-mitre-saw-10-1800w-double-bevel-grey</t>
        </is>
      </c>
      <c r="G427" t="inlineStr">
        <is>
          <t>GB</t>
        </is>
      </c>
    </row>
    <row r="428">
      <c r="A428" t="inlineStr">
        <is>
          <t>Tamo Professional</t>
        </is>
      </c>
      <c r="B428" t="inlineStr"/>
      <c r="C428" t="inlineStr">
        <is>
          <t>undetermined</t>
        </is>
      </c>
      <c r="E428" t="inlineStr">
        <is>
          <t>來源頁看不到型號；來源頁看不到刀片直徑；產品線判不出（來源頁看不出有沒有滑軌）；沒有可用的含稅售價</t>
        </is>
      </c>
      <c r="F428" t="inlineStr">
        <is>
          <t>https://www.tokmanni.fi/pyorosahantera-tamo-professional-250-mm-x-80t-x-6420613763163</t>
        </is>
      </c>
      <c r="G428" t="inlineStr">
        <is>
          <t>FI</t>
        </is>
      </c>
    </row>
    <row r="429">
      <c r="A429" t="inlineStr">
        <is>
          <t>Tamo Professional</t>
        </is>
      </c>
      <c r="B429" t="inlineStr"/>
      <c r="C429" t="inlineStr">
        <is>
          <t>undetermined</t>
        </is>
      </c>
      <c r="E429" t="inlineStr">
        <is>
          <t>來源頁看不到型號；來源頁看不到刀片直徑；產品線判不出（來源頁看不出有沒有滑軌）；沒有可用的含稅售價</t>
        </is>
      </c>
      <c r="F429" t="inlineStr">
        <is>
          <t>https://www.tokmanni.fi/pyorosahantera-tamo-professional-254-mm-x-48t-x-6420613768120</t>
        </is>
      </c>
      <c r="G429" t="inlineStr">
        <is>
          <t>FI</t>
        </is>
      </c>
    </row>
    <row r="430">
      <c r="A430" t="inlineStr">
        <is>
          <t>Titan</t>
        </is>
      </c>
      <c r="B430" t="inlineStr"/>
      <c r="C430" t="inlineStr">
        <is>
          <t>table</t>
        </is>
      </c>
      <c r="D430" t="n">
        <v>254</v>
      </c>
      <c r="E430" t="inlineStr">
        <is>
          <t>來源頁看不到型號</t>
        </is>
      </c>
      <c r="F430" t="inlineStr">
        <is>
          <t>https://www.bricodepot.fr/p/5059340252551/scie-sur-table-1500-w-254-mm</t>
        </is>
      </c>
      <c r="G430" t="inlineStr">
        <is>
          <t>FR</t>
        </is>
      </c>
    </row>
    <row r="431">
      <c r="A431" t="inlineStr">
        <is>
          <t>Titan</t>
        </is>
      </c>
      <c r="B431" t="inlineStr"/>
      <c r="C431" t="inlineStr">
        <is>
          <t>table</t>
        </is>
      </c>
      <c r="D431" t="n">
        <v>254</v>
      </c>
      <c r="E431" t="inlineStr">
        <is>
          <t>來源頁看不到型號</t>
        </is>
      </c>
      <c r="F431" t="inlineStr">
        <is>
          <t>https://www.bricodepot.fr/p/5059340445472/scie-sur-table-1500-w</t>
        </is>
      </c>
      <c r="G431" t="inlineStr">
        <is>
          <t>FR</t>
        </is>
      </c>
    </row>
    <row r="432">
      <c r="A432" t="inlineStr">
        <is>
          <t>Titan</t>
        </is>
      </c>
      <c r="B432" t="inlineStr"/>
      <c r="C432" t="inlineStr">
        <is>
          <t>table</t>
        </is>
      </c>
      <c r="E432" t="inlineStr">
        <is>
          <t>來源頁看不到型號；來源頁看不到刀片直徑</t>
        </is>
      </c>
      <c r="F432" t="inlineStr">
        <is>
          <t>https://www.bricodepot.es/sierra-mesa-1500-w-titan-5059340252551?queryID=17972a10c3b34b4305c3d75c98f13a8a&amp;objectID=142711&amp;indexName=pro_ES_products</t>
        </is>
      </c>
      <c r="G432" t="inlineStr">
        <is>
          <t>ES</t>
        </is>
      </c>
    </row>
    <row r="433">
      <c r="A433" t="inlineStr">
        <is>
          <t>Triton</t>
        </is>
      </c>
      <c r="B433" t="inlineStr"/>
      <c r="C433" t="inlineStr">
        <is>
          <t>undetermined</t>
        </is>
      </c>
      <c r="E433" t="inlineStr">
        <is>
          <t>來源頁看不到型號；來源頁看不到刀片直徑；產品線判不出（來源頁看不出有沒有滑軌）；沒有可用的含稅售價</t>
        </is>
      </c>
      <c r="F433" t="inlineStr">
        <is>
          <t>https://www.amazon.de/Kreissägemodul-1800-für-TWX7-TRITON/dp/B0BNC75RGC</t>
        </is>
      </c>
      <c r="G433" t="inlineStr">
        <is>
          <t>DE</t>
        </is>
      </c>
    </row>
    <row r="434">
      <c r="A434" t="inlineStr">
        <is>
          <t>Triton</t>
        </is>
      </c>
      <c r="B434" t="inlineStr">
        <is>
          <t>TCMS254</t>
        </is>
      </c>
      <c r="C434" t="inlineStr">
        <is>
          <t>sliding</t>
        </is>
      </c>
      <c r="D434" t="n">
        <v>254</v>
      </c>
      <c r="E434" t="inlineStr">
        <is>
          <t>只有缺貨的價格</t>
        </is>
      </c>
      <c r="F434" t="inlineStr">
        <is>
          <t>https://www.sautershop-de.com/en-int/triton-tcms254-sliding-compound-mitre-saw-ts-524891</t>
        </is>
      </c>
      <c r="G434" t="inlineStr">
        <is>
          <t>DE</t>
        </is>
      </c>
    </row>
    <row r="435">
      <c r="A435" t="inlineStr">
        <is>
          <t>Triton</t>
        </is>
      </c>
      <c r="B435" t="inlineStr">
        <is>
          <t>TCMS255</t>
        </is>
      </c>
      <c r="C435" t="inlineStr">
        <is>
          <t>sliding</t>
        </is>
      </c>
      <c r="D435" t="n">
        <v>254</v>
      </c>
      <c r="E435" t="inlineStr">
        <is>
          <t>沒有可用的含稅售價</t>
        </is>
      </c>
      <c r="F435" t="inlineStr">
        <is>
          <t>https://www.tritontools.com/es-eu/collections/power-saws/products/694475</t>
        </is>
      </c>
      <c r="G435" t="inlineStr">
        <is>
          <t>ES</t>
        </is>
      </c>
    </row>
    <row r="436">
      <c r="A436" t="inlineStr">
        <is>
          <t>Ulmia</t>
        </is>
      </c>
      <c r="B436" t="inlineStr"/>
      <c r="C436" t="inlineStr">
        <is>
          <t>compound</t>
        </is>
      </c>
      <c r="E436" t="inlineStr">
        <is>
          <t>來源頁看不到型號；來源頁看不到刀片直徑</t>
        </is>
      </c>
      <c r="F436" t="inlineStr">
        <is>
          <t>https://www.galaxus.fr/fr/s4/product/ulmia-scie-a-onglet-scie-a-onglet-10688941</t>
        </is>
      </c>
      <c r="G436" t="inlineStr">
        <is>
          <t>FR</t>
        </is>
      </c>
    </row>
    <row r="437">
      <c r="A437" t="inlineStr">
        <is>
          <t>Ulmia</t>
        </is>
      </c>
      <c r="B437" t="inlineStr"/>
      <c r="C437" t="inlineStr">
        <is>
          <t>undetermined</t>
        </is>
      </c>
      <c r="E437" t="inlineStr">
        <is>
          <t>來源頁看不到型號；來源頁看不到刀片直徑；產品線判不出（來源頁看不出有沒有滑軌）</t>
        </is>
      </c>
      <c r="F437" t="inlineStr">
        <is>
          <t>https://www.galaxus.be/fr/s4/product/ulmia-scie-a-onglet-scie-a-onglet-10688941</t>
        </is>
      </c>
      <c r="G437" t="inlineStr">
        <is>
          <t>BE</t>
        </is>
      </c>
    </row>
    <row r="438">
      <c r="A438" t="inlineStr">
        <is>
          <t>Ulmia</t>
        </is>
      </c>
      <c r="B438" t="inlineStr">
        <is>
          <t>352</t>
        </is>
      </c>
      <c r="C438" t="inlineStr">
        <is>
          <t>undetermined</t>
        </is>
      </c>
      <c r="E438" t="inlineStr">
        <is>
          <t>來源頁看不到刀片直徑；產品線判不出（來源頁看不出有沒有滑軌）</t>
        </is>
      </c>
      <c r="F438" t="inlineStr">
        <is>
          <t>https://www.galaxus.be/fr/s4/product/ulmia-352-gehrungssaege-550-mm-scie-a-onglet-54038047</t>
        </is>
      </c>
      <c r="G438" t="inlineStr">
        <is>
          <t>BE</t>
        </is>
      </c>
    </row>
    <row r="439">
      <c r="A439" t="inlineStr">
        <is>
          <t>Ulmia</t>
        </is>
      </c>
      <c r="B439" t="inlineStr">
        <is>
          <t>352 L</t>
        </is>
      </c>
      <c r="C439" t="inlineStr">
        <is>
          <t>compound</t>
        </is>
      </c>
      <c r="E439" t="inlineStr">
        <is>
          <t>來源頁看不到刀片直徑；交期 10 天以上（Livré entre mer, 4/11 et ven, 6/11）</t>
        </is>
      </c>
      <c r="F439" t="inlineStr">
        <is>
          <t>https://www.galaxus.be/fr/s4/product/ulmia-352-l-scie-a-onglet-10690749</t>
        </is>
      </c>
      <c r="G439" t="inlineStr">
        <is>
          <t>BE</t>
        </is>
      </c>
    </row>
    <row r="440">
      <c r="A440" t="inlineStr">
        <is>
          <t>Valex</t>
        </is>
      </c>
      <c r="B440" t="inlineStr">
        <is>
          <t>TLS250B</t>
        </is>
      </c>
      <c r="C440" t="inlineStr">
        <is>
          <t>undetermined</t>
        </is>
      </c>
      <c r="D440" t="n">
        <v>250</v>
      </c>
      <c r="E440" t="inlineStr">
        <is>
          <t>產品線判不出（來源頁看不出有沒有滑軌）；複合機（翻轉鋸或上方附台的斜切鋸）不收</t>
        </is>
      </c>
      <c r="F440" t="inlineStr">
        <is>
          <t>https://www.manomano.it/p/troncatrice-combinata-da-banco-con-piano-multifunzione-valex-tls250b-9102710</t>
        </is>
      </c>
      <c r="G440" t="inlineStr">
        <is>
          <t>IT</t>
        </is>
      </c>
    </row>
    <row r="441">
      <c r="A441" t="inlineStr">
        <is>
          <t>Verto</t>
        </is>
      </c>
      <c r="B441" t="inlineStr">
        <is>
          <t>219</t>
        </is>
      </c>
      <c r="C441" t="inlineStr">
        <is>
          <t>table</t>
        </is>
      </c>
      <c r="E441" t="inlineStr">
        <is>
          <t>來源頁看不到刀片直徑；交期 10 天以上（Livré entre ven, 6/11 et sam, 14/11）</t>
        </is>
      </c>
      <c r="F441" t="inlineStr">
        <is>
          <t>https://www.galaxus.be/fr/s4/product/verto-219-scie-a-table-scie-circulaire-sur-table-20680538</t>
        </is>
      </c>
      <c r="G441" t="inlineStr">
        <is>
          <t>BE</t>
        </is>
      </c>
    </row>
    <row r="442">
      <c r="A442" t="inlineStr">
        <is>
          <t>VEVOR</t>
        </is>
      </c>
      <c r="B442" t="inlineStr"/>
      <c r="C442" t="inlineStr">
        <is>
          <t>table</t>
        </is>
      </c>
      <c r="D442" t="n">
        <v>254</v>
      </c>
      <c r="E442" t="inlineStr">
        <is>
          <t>來源頁看不到型號</t>
        </is>
      </c>
      <c r="F442" t="inlineStr">
        <is>
          <t>https://www.manomano.de/p/vevor-tischkreissage-mit-stander-254-mm-1800-w-baukreissage-200-mm-max-schnittkapazitat-4800-umin-schnittgeschwindigkeit-mit-24-zahn-sageblatt-gehrungssage-fur-holzbearbeitung-und-mobelbau-88727070</t>
        </is>
      </c>
      <c r="G442" t="inlineStr">
        <is>
          <t>DE</t>
        </is>
      </c>
    </row>
    <row r="443">
      <c r="A443" t="inlineStr">
        <is>
          <t>VEVOR</t>
        </is>
      </c>
      <c r="B443" t="inlineStr"/>
      <c r="C443" t="inlineStr">
        <is>
          <t>table</t>
        </is>
      </c>
      <c r="D443" t="n">
        <v>254</v>
      </c>
      <c r="E443" t="inlineStr">
        <is>
          <t>來源頁看不到型號；沒有可用的含稅售價</t>
        </is>
      </c>
      <c r="F443" t="inlineStr">
        <is>
          <t>https://www.hinnavaatlus.ee/7631678/vevor-lauasaag-alusega-1800-w-254-mm/</t>
        </is>
      </c>
      <c r="G443" t="inlineStr">
        <is>
          <t>EE</t>
        </is>
      </c>
    </row>
    <row r="444">
      <c r="A444" t="inlineStr">
        <is>
          <t>VEVOR</t>
        </is>
      </c>
      <c r="B444" t="inlineStr"/>
      <c r="C444" t="inlineStr">
        <is>
          <t>table</t>
        </is>
      </c>
      <c r="D444" t="n">
        <v>254</v>
      </c>
      <c r="E444" t="inlineStr">
        <is>
          <t>來源頁看不到型號</t>
        </is>
      </c>
      <c r="F444" t="inlineStr">
        <is>
          <t>https://www.manomano.es/p/vevor-sierra-circular-de-mesa-capacidad-de-corte-625-mm-sierra-de-mesa-4400-rpm-1800-w-corte-transversal-85-mm-90-corte-biselado-60-mm-45-para-corte-de-madera-carpinteria-taller-interior-exterior-70083312</t>
        </is>
      </c>
      <c r="G444" t="inlineStr">
        <is>
          <t>ES</t>
        </is>
      </c>
    </row>
    <row r="445">
      <c r="A445" t="inlineStr">
        <is>
          <t>VEVOR</t>
        </is>
      </c>
      <c r="B445" t="inlineStr">
        <is>
          <t>WTS254M-2</t>
        </is>
      </c>
      <c r="C445" t="inlineStr">
        <is>
          <t>table</t>
        </is>
      </c>
      <c r="D445" t="n">
        <v>254</v>
      </c>
      <c r="E445" t="inlineStr">
        <is>
          <t>找不到經目視確認、對應這台機器的商品圖：Darty 存檔沒有可用的商品圖網址；下一輪補圖（2026-10-21）</t>
        </is>
      </c>
      <c r="F445" t="inlineStr">
        <is>
          <t>https://www.darty.com/nav/achat/ref/MC351755424.html</t>
        </is>
      </c>
      <c r="G445" t="inlineStr">
        <is>
          <t>FR</t>
        </is>
      </c>
    </row>
    <row r="446">
      <c r="A446" t="inlineStr">
        <is>
          <t>Vito</t>
        </is>
      </c>
      <c r="B446" t="inlineStr"/>
      <c r="C446" t="inlineStr">
        <is>
          <t>sliding</t>
        </is>
      </c>
      <c r="D446" t="n">
        <v>255</v>
      </c>
      <c r="E446" t="inlineStr">
        <is>
          <t>來源頁看不到型號</t>
        </is>
      </c>
      <c r="F446" t="inlineStr">
        <is>
          <t>https://www.castorama.fr/mkp/scie-onglet-professionnelle-2100w-disque-diam-255-mm-al-sage-30-mm-230-v-silencieux-vito/5604612695538_CAFR.prd</t>
        </is>
      </c>
      <c r="G446" t="inlineStr">
        <is>
          <t>FR</t>
        </is>
      </c>
    </row>
    <row r="447">
      <c r="A447" t="inlineStr">
        <is>
          <t>VONROC</t>
        </is>
      </c>
      <c r="B447" t="inlineStr"/>
      <c r="C447" t="inlineStr">
        <is>
          <t>undetermined</t>
        </is>
      </c>
      <c r="E447" t="inlineStr">
        <is>
          <t>來源頁看不到型號；來源頁看不到刀片直徑；產品線判不出（來源頁看不出有沒有滑軌）；沒有可用的含稅售價</t>
        </is>
      </c>
      <c r="F447" t="inlineStr">
        <is>
          <t>https://www.praxis.nl/gereedschap-werkplaats/verbruiksartikelen-accessoires-voor-elektrisch-gereedschap/zaagbladen/cirkelzaagbladen/zaagblad-voor-afkortzaag-254-x-30mm-80t-universeel/10149625</t>
        </is>
      </c>
      <c r="G447" t="inlineStr">
        <is>
          <t>NL</t>
        </is>
      </c>
    </row>
    <row r="448">
      <c r="A448" t="inlineStr">
        <is>
          <t>VONROC</t>
        </is>
      </c>
      <c r="B448" t="inlineStr">
        <is>
          <t>MS501AC</t>
        </is>
      </c>
      <c r="C448" t="inlineStr">
        <is>
          <t>sliding</t>
        </is>
      </c>
      <c r="D448" t="n">
        <v>216</v>
      </c>
      <c r="E448" t="inlineStr">
        <is>
          <t>刀片直徑不在 222～267 mm</t>
        </is>
      </c>
      <c r="F448" t="inlineStr">
        <is>
          <t>https://www.mediamarkt.nl/nl/product/_vonroc-ms501ac-afkortzaag-167327404.html</t>
        </is>
      </c>
      <c r="G448" t="inlineStr">
        <is>
          <t>NL</t>
        </is>
      </c>
    </row>
    <row r="449">
      <c r="A449" t="inlineStr">
        <is>
          <t>VONROC</t>
        </is>
      </c>
      <c r="B449" t="inlineStr">
        <is>
          <t>MS503AC</t>
        </is>
      </c>
      <c r="C449" t="inlineStr">
        <is>
          <t>undetermined</t>
        </is>
      </c>
      <c r="D449" t="n">
        <v>216</v>
      </c>
      <c r="E449" t="inlineStr">
        <is>
          <t>刀片直徑不在 222～267 mm；產品線判不出（來源頁看不出有沒有滑軌）</t>
        </is>
      </c>
      <c r="F449" t="inlineStr">
        <is>
          <t>https://www.mediamarkt.nl/nl/product/_vonroc-ms503ac-afkortzaag-167327407.html</t>
        </is>
      </c>
      <c r="G449" t="inlineStr">
        <is>
          <t>NL</t>
        </is>
      </c>
    </row>
    <row r="450">
      <c r="A450" t="inlineStr">
        <is>
          <t>Wolf</t>
        </is>
      </c>
      <c r="B450" t="inlineStr"/>
      <c r="C450" t="inlineStr">
        <is>
          <t>table</t>
        </is>
      </c>
      <c r="D450" t="n">
        <v>250</v>
      </c>
      <c r="E450" t="inlineStr">
        <is>
          <t>來源頁看不到型號</t>
        </is>
      </c>
      <c r="F450" t="inlineStr">
        <is>
          <t>https://www.diy.com/departments/wolf-10-250mm-super-hd-table-saw-extendable-table-dust-extraction/5056109059130_BQ.prd</t>
        </is>
      </c>
      <c r="G450" t="inlineStr">
        <is>
          <t>GB</t>
        </is>
      </c>
    </row>
    <row r="451">
      <c r="A451" t="inlineStr">
        <is>
          <t>Wolf</t>
        </is>
      </c>
      <c r="B451" t="inlineStr"/>
      <c r="C451" t="inlineStr">
        <is>
          <t>undetermined</t>
        </is>
      </c>
      <c r="D451" t="n">
        <v>254</v>
      </c>
      <c r="E451" t="inlineStr">
        <is>
          <t>來源頁看不到型號；產品線判不出（來源頁看不出有沒有滑軌）；複合機（翻轉鋸或上方附台的斜切鋸）不收</t>
        </is>
      </c>
      <c r="F451" t="inlineStr">
        <is>
          <t>https://www.diy.com/departments/flip-over-saw-wolf-professional-1800w-254mm-table-mitre-saw/5060367473249_BQ.prd</t>
        </is>
      </c>
      <c r="G451" t="inlineStr">
        <is>
          <t>GB</t>
        </is>
      </c>
    </row>
    <row r="452">
      <c r="A452" t="inlineStr">
        <is>
          <t>Woodstar</t>
        </is>
      </c>
      <c r="B452" t="inlineStr"/>
      <c r="C452" t="inlineStr">
        <is>
          <t>sliding</t>
        </is>
      </c>
      <c r="D452" t="n">
        <v>254</v>
      </c>
      <c r="E452" t="inlineStr">
        <is>
          <t>來源頁看不到型號；只有缺貨的價格</t>
        </is>
      </c>
      <c r="F452" t="inlineStr">
        <is>
          <t>https://its.co.uk/pd/SL10LU2-Woodstar-250mm-Slide-Compound-Mitre-Saw-240V-_WOOSL10LU2.htm</t>
        </is>
      </c>
      <c r="G452" t="inlineStr">
        <is>
          <t>GB</t>
        </is>
      </c>
    </row>
    <row r="453">
      <c r="A453" t="inlineStr">
        <is>
          <t>Worx</t>
        </is>
      </c>
      <c r="B453" t="inlineStr">
        <is>
          <t>WX845.9</t>
        </is>
      </c>
      <c r="C453" t="inlineStr">
        <is>
          <t>sliding</t>
        </is>
      </c>
      <c r="D453" t="n">
        <v>216</v>
      </c>
      <c r="E453" t="inlineStr">
        <is>
          <t>刀片直徑不在 222～267 mm</t>
        </is>
      </c>
      <c r="F453" t="inlineStr">
        <is>
          <t>https://www.hornbach.nl/p/worx-accu-kap-verstekzaag-wx845-9-excl-accu-en-lader/10320120/</t>
        </is>
      </c>
      <c r="G453" t="inlineStr">
        <is>
          <t>NL</t>
        </is>
      </c>
    </row>
    <row r="454">
      <c r="A454" t="inlineStr">
        <is>
          <t>Yato</t>
        </is>
      </c>
      <c r="B454" t="inlineStr"/>
      <c r="C454" t="inlineStr">
        <is>
          <t>table</t>
        </is>
      </c>
      <c r="D454" t="n">
        <v>250</v>
      </c>
      <c r="E454" t="inlineStr">
        <is>
          <t>來源頁看不到型號；交期 10 天以上（Consegna tra mer, 11/11 e gio, 19/11）</t>
        </is>
      </c>
      <c r="F454" t="inlineStr">
        <is>
          <t>https://www.galaxus.it/it/s4/product/yato-sega-da-tavolo-per-legno-250mm-1800w-sega-circolare-da-tavolo-21343417</t>
        </is>
      </c>
      <c r="G454" t="inlineStr">
        <is>
          <t>IT</t>
        </is>
      </c>
    </row>
    <row r="455">
      <c r="A455" t="inlineStr">
        <is>
          <t>Yato</t>
        </is>
      </c>
      <c r="B455" t="inlineStr">
        <is>
          <t>YT-82175</t>
        </is>
      </c>
      <c r="C455" t="inlineStr">
        <is>
          <t>compound</t>
        </is>
      </c>
      <c r="D455" t="n">
        <v>305</v>
      </c>
      <c r="E455" t="inlineStr">
        <is>
          <t>刀片直徑不在 222～267 mm</t>
        </is>
      </c>
      <c r="F455" t="inlineStr">
        <is>
          <t>https://www.pccomponentes.com/sierra-ingletadora-yato-yt-82175-un-solo-bisel-1800w-5000-rpm</t>
        </is>
      </c>
      <c r="G455" t="inlineStr">
        <is>
          <t>ES</t>
        </is>
      </c>
    </row>
    <row r="456">
      <c r="A456" t="inlineStr">
        <is>
          <t>Zipper</t>
        </is>
      </c>
      <c r="B456" t="inlineStr"/>
      <c r="C456" t="inlineStr">
        <is>
          <t>sliding</t>
        </is>
      </c>
      <c r="D456" t="n">
        <v>120</v>
      </c>
      <c r="E456" t="inlineStr">
        <is>
          <t>來源頁看不到型號；刀片直徑不在 222～267 mm</t>
        </is>
      </c>
      <c r="F456" t="inlineStr">
        <is>
          <t>https://www.manomano.es/p/zipper-zi-kgs210ds-ingletadora-telescopica-62144466</t>
        </is>
      </c>
      <c r="G456" t="inlineStr">
        <is>
          <t>ES</t>
        </is>
      </c>
    </row>
    <row r="457">
      <c r="A457" t="inlineStr">
        <is>
          <t>Zipper</t>
        </is>
      </c>
      <c r="B457" t="inlineStr">
        <is>
          <t>KGS255DS</t>
        </is>
      </c>
      <c r="C457" t="inlineStr">
        <is>
          <t>compound</t>
        </is>
      </c>
      <c r="E457" t="inlineStr">
        <is>
          <t>來源頁看不到刀片直徑</t>
        </is>
      </c>
      <c r="F457" t="inlineStr">
        <is>
          <t>https://www.galaxus.nl/nl/s4/product/zipper-kgs255ds-afkortzaag-radiale-snijders-25247879</t>
        </is>
      </c>
      <c r="G457" t="inlineStr">
        <is>
          <t>NL</t>
        </is>
      </c>
    </row>
    <row r="458">
      <c r="A458" t="inlineStr">
        <is>
          <t>Zipper</t>
        </is>
      </c>
      <c r="B458" t="inlineStr">
        <is>
          <t>ZI-FKS250</t>
        </is>
      </c>
      <c r="C458" t="inlineStr">
        <is>
          <t>table</t>
        </is>
      </c>
      <c r="D458" t="n">
        <v>250</v>
      </c>
      <c r="E458" t="inlineStr">
        <is>
          <t>spec 排除：industrial format panel saw (Formatkreissäge) — user decision 2026-10-20 (form: 「比照 Holzmann 排除」)</t>
        </is>
      </c>
      <c r="F458" t="inlineStr">
        <is>
          <t>https://www.manomano.de/p/zipper-formatkreissaege-tischkreissaege-saege-kreissaege-zi-fks250-neu-69434</t>
        </is>
      </c>
      <c r="G458" t="inlineStr">
        <is>
          <t>DE</t>
        </is>
      </c>
    </row>
    <row r="459">
      <c r="A459" t="inlineStr">
        <is>
          <t>Zipper</t>
        </is>
      </c>
      <c r="B459" t="inlineStr">
        <is>
          <t>ZI-KGS210DS</t>
        </is>
      </c>
      <c r="C459" t="inlineStr">
        <is>
          <t>compound</t>
        </is>
      </c>
      <c r="D459" t="n">
        <v>210</v>
      </c>
      <c r="E459" t="inlineStr">
        <is>
          <t>刀片直徑不在 222～267 mm</t>
        </is>
      </c>
      <c r="F459" t="inlineStr">
        <is>
          <t>https://www.obi.at/p/2760320/zipper-kapp-und-gehrungssaege-zi-kgs210ds</t>
        </is>
      </c>
      <c r="G459" t="inlineStr">
        <is>
          <t>AT</t>
        </is>
      </c>
    </row>
    <row r="460">
      <c r="A460" t="inlineStr">
        <is>
          <t>Zipper</t>
        </is>
      </c>
      <c r="B460" t="inlineStr">
        <is>
          <t>ZI-KGS305UK</t>
        </is>
      </c>
      <c r="C460" t="inlineStr">
        <is>
          <t>sliding</t>
        </is>
      </c>
      <c r="D460" t="n">
        <v>305</v>
      </c>
      <c r="E460" t="inlineStr">
        <is>
          <t>刀片直徑不在 222～267 mm</t>
        </is>
      </c>
      <c r="F460" t="inlineStr">
        <is>
          <t>https://www.kaufland.de/product/322997735/</t>
        </is>
      </c>
      <c r="G460" t="inlineStr">
        <is>
          <t>DE</t>
        </is>
      </c>
    </row>
    <row r="461">
      <c r="A461" t="inlineStr">
        <is>
          <t>Zipper</t>
        </is>
      </c>
      <c r="B461" t="inlineStr">
        <is>
          <t>ZI-TS315-230</t>
        </is>
      </c>
      <c r="C461" t="inlineStr">
        <is>
          <t>table</t>
        </is>
      </c>
      <c r="D461" t="n">
        <v>315</v>
      </c>
      <c r="E461" t="inlineStr">
        <is>
          <t>刀片直徑不在 222～267 mm</t>
        </is>
      </c>
      <c r="F461" t="inlineStr">
        <is>
          <t>https://www.hornbach.at/p/tischkreissaege-zipper-zi-ts315-230-2000-w/12359149/</t>
        </is>
      </c>
      <c r="G461" t="inlineStr">
        <is>
          <t>AT</t>
        </is>
      </c>
    </row>
    <row r="462">
      <c r="A462" t="inlineStr">
        <is>
          <t>Zipper</t>
        </is>
      </c>
      <c r="B462" t="inlineStr">
        <is>
          <t>ZI-TS315-400</t>
        </is>
      </c>
      <c r="C462" t="inlineStr">
        <is>
          <t>table</t>
        </is>
      </c>
      <c r="D462" t="n">
        <v>315</v>
      </c>
      <c r="E462" t="inlineStr">
        <is>
          <t>刀片直徑不在 222～267 mm</t>
        </is>
      </c>
      <c r="F462" t="inlineStr">
        <is>
          <t>https://www.obi.at/p/2191171141727/zipper-tischkreissaege-zi-ts315-400-gruen-schwarz</t>
        </is>
      </c>
      <c r="G462" t="inlineStr">
        <is>
          <t>AT</t>
        </is>
      </c>
    </row>
    <row r="463">
      <c r="A463" t="inlineStr">
        <is>
          <t>Zipper</t>
        </is>
      </c>
      <c r="B463" t="inlineStr">
        <is>
          <t>ZI-WP400TN</t>
        </is>
      </c>
      <c r="C463" t="inlineStr">
        <is>
          <t>undetermined</t>
        </is>
      </c>
      <c r="D463" t="n">
        <v>405</v>
      </c>
      <c r="E463" t="inlineStr">
        <is>
          <t>刀片直徑不在 222～267 mm；產品線判不出（來源頁看不出有沒有滑軌）</t>
        </is>
      </c>
      <c r="F463" t="inlineStr">
        <is>
          <t>https://www.hornbach.at/p/wippsaege-zipper-zi-wp400tn-2200-w/12016281/</t>
        </is>
      </c>
      <c r="G463" t="inlineStr">
        <is>
          <t>AT</t>
        </is>
      </c>
    </row>
    <row r="464">
      <c r="A464" t="inlineStr">
        <is>
          <t>Zipper</t>
        </is>
      </c>
      <c r="B464" t="inlineStr">
        <is>
          <t>ZI-WP500TN</t>
        </is>
      </c>
      <c r="C464" t="inlineStr">
        <is>
          <t>undetermined</t>
        </is>
      </c>
      <c r="D464" t="n">
        <v>505</v>
      </c>
      <c r="E464" t="inlineStr">
        <is>
          <t>刀片直徑不在 222～267 mm；產品線判不出（來源頁看不出有沒有滑軌）</t>
        </is>
      </c>
      <c r="F464" t="inlineStr">
        <is>
          <t>https://www.hornbach.at/p/wippsaege-zipper-zi-wp500tn-3000-w/12016271/</t>
        </is>
      </c>
      <c r="G464" t="inlineStr">
        <is>
          <t>AT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國家</t>
        </is>
      </c>
      <c r="B1" s="3" t="inlineStr">
        <is>
          <t>通路</t>
        </is>
      </c>
      <c r="C1" s="3" t="inlineStr">
        <is>
          <t>狀態</t>
        </is>
      </c>
      <c r="D1" s="3" t="inlineStr">
        <is>
          <t>看到的品牌</t>
        </is>
      </c>
    </row>
    <row r="2">
      <c r="A2" t="inlineStr">
        <is>
          <t>AT</t>
        </is>
      </c>
      <c r="B2" t="inlineStr">
        <is>
          <t>Bauhaus</t>
        </is>
      </c>
      <c r="C2" t="inlineStr">
        <is>
          <t>blocked</t>
        </is>
      </c>
      <c r="D2" t="inlineStr"/>
    </row>
    <row r="3">
      <c r="A3" t="inlineStr">
        <is>
          <t>AT</t>
        </is>
      </c>
      <c r="B3" t="inlineStr">
        <is>
          <t>Bosch Professional catalog</t>
        </is>
      </c>
      <c r="C3" t="inlineStr">
        <is>
          <t>checked</t>
        </is>
      </c>
      <c r="D3" t="inlineStr"/>
    </row>
    <row r="4">
      <c r="A4" t="inlineStr">
        <is>
          <t>AT</t>
        </is>
      </c>
      <c r="B4" t="inlineStr">
        <is>
          <t>Holzmann webshop (holzmann-maschinen.at)</t>
        </is>
      </c>
      <c r="C4" t="inlineStr">
        <is>
          <t>checked</t>
        </is>
      </c>
      <c r="D4" t="inlineStr"/>
    </row>
    <row r="5">
      <c r="A5" t="inlineStr">
        <is>
          <t>AT</t>
        </is>
      </c>
      <c r="B5" t="inlineStr">
        <is>
          <t>Holzmann webshop holzmann-maschinen.at</t>
        </is>
      </c>
      <c r="C5" t="inlineStr">
        <is>
          <t>checked</t>
        </is>
      </c>
      <c r="D5" t="inlineStr"/>
    </row>
    <row r="6">
      <c r="A6" t="inlineStr">
        <is>
          <t>AT</t>
        </is>
      </c>
      <c r="B6" t="inlineStr">
        <is>
          <t>Hornbach AT</t>
        </is>
      </c>
      <c r="C6" t="inlineStr">
        <is>
          <t>checked</t>
        </is>
      </c>
      <c r="D6" t="inlineStr"/>
    </row>
    <row r="7">
      <c r="A7" t="inlineStr">
        <is>
          <t>AT</t>
        </is>
      </c>
      <c r="B7" t="inlineStr">
        <is>
          <t>Hornbach.at</t>
        </is>
      </c>
      <c r="C7" t="inlineStr">
        <is>
          <t>checked</t>
        </is>
      </c>
      <c r="D7" t="inlineStr"/>
    </row>
    <row r="8">
      <c r="A8" t="inlineStr">
        <is>
          <t>AT</t>
        </is>
      </c>
      <c r="B8" t="inlineStr">
        <is>
          <t>Kaufland.at</t>
        </is>
      </c>
      <c r="C8" t="inlineStr">
        <is>
          <t>blocked</t>
        </is>
      </c>
      <c r="D8" t="inlineStr"/>
    </row>
    <row r="9">
      <c r="A9" t="inlineStr">
        <is>
          <t>AT</t>
        </is>
      </c>
      <c r="B9" t="inlineStr">
        <is>
          <t>Lagerhaus</t>
        </is>
      </c>
      <c r="C9" t="inlineStr">
        <is>
          <t>blocked</t>
        </is>
      </c>
      <c r="D9" t="inlineStr"/>
    </row>
    <row r="10">
      <c r="A10" t="inlineStr">
        <is>
          <t>AT</t>
        </is>
      </c>
      <c r="B10" t="inlineStr">
        <is>
          <t>MediaMarkt AT</t>
        </is>
      </c>
      <c r="C10" t="inlineStr">
        <is>
          <t>blocked</t>
        </is>
      </c>
      <c r="D10" t="inlineStr"/>
    </row>
    <row r="11">
      <c r="A11" t="inlineStr">
        <is>
          <t>AT</t>
        </is>
      </c>
      <c r="B11" t="inlineStr">
        <is>
          <t>OBI AT</t>
        </is>
      </c>
      <c r="C11" t="inlineStr">
        <is>
          <t>checked</t>
        </is>
      </c>
      <c r="D11" t="inlineStr"/>
    </row>
    <row r="12">
      <c r="A12" t="inlineStr">
        <is>
          <t>AT</t>
        </is>
      </c>
      <c r="B12" t="inlineStr">
        <is>
          <t>OBI.at</t>
        </is>
      </c>
      <c r="C12" t="inlineStr">
        <is>
          <t>checked</t>
        </is>
      </c>
      <c r="D12" t="inlineStr"/>
    </row>
    <row r="13">
      <c r="A13" t="inlineStr">
        <is>
          <t>AT</t>
        </is>
      </c>
      <c r="B13" t="inlineStr">
        <is>
          <t>Zipper website zipper-maschinen.at</t>
        </is>
      </c>
      <c r="C13" t="inlineStr">
        <is>
          <t>checked</t>
        </is>
      </c>
      <c r="D13" t="inlineStr"/>
    </row>
    <row r="14">
      <c r="A14" t="inlineStr">
        <is>
          <t>AT</t>
        </is>
      </c>
      <c r="B14" t="inlineStr">
        <is>
          <t>hagebau.at</t>
        </is>
      </c>
      <c r="C14" t="inlineStr">
        <is>
          <t>checked</t>
        </is>
      </c>
      <c r="D14" t="inlineStr"/>
    </row>
    <row r="15">
      <c r="A15" t="inlineStr">
        <is>
          <t>BE</t>
        </is>
      </c>
      <c r="B15" t="inlineStr">
        <is>
          <t>Amazon.com.be</t>
        </is>
      </c>
      <c r="C15" t="inlineStr">
        <is>
          <t>checked</t>
        </is>
      </c>
      <c r="D15" t="inlineStr"/>
    </row>
    <row r="16">
      <c r="A16" t="inlineStr">
        <is>
          <t>BE</t>
        </is>
      </c>
      <c r="B16" t="inlineStr">
        <is>
          <t>Brico</t>
        </is>
      </c>
      <c r="C16" t="inlineStr">
        <is>
          <t>checked</t>
        </is>
      </c>
      <c r="D16" t="inlineStr"/>
    </row>
    <row r="17">
      <c r="A17" t="inlineStr">
        <is>
          <t>BE</t>
        </is>
      </c>
      <c r="B17" t="inlineStr">
        <is>
          <t>Coolblue</t>
        </is>
      </c>
      <c r="C17" t="inlineStr">
        <is>
          <t>checked</t>
        </is>
      </c>
      <c r="D17" t="inlineStr"/>
    </row>
    <row r="18">
      <c r="A18" t="inlineStr">
        <is>
          <t>BE</t>
        </is>
      </c>
      <c r="B18" t="inlineStr">
        <is>
          <t>GAMMA</t>
        </is>
      </c>
      <c r="C18" t="inlineStr">
        <is>
          <t>checked</t>
        </is>
      </c>
      <c r="D18" t="inlineStr"/>
    </row>
    <row r="19">
      <c r="A19" t="inlineStr">
        <is>
          <t>BE</t>
        </is>
      </c>
      <c r="B19" t="inlineStr">
        <is>
          <t>GAMMA BE</t>
        </is>
      </c>
      <c r="C19" t="inlineStr">
        <is>
          <t>checked</t>
        </is>
      </c>
      <c r="D19" t="inlineStr"/>
    </row>
    <row r="20">
      <c r="A20" t="inlineStr">
        <is>
          <t>BE</t>
        </is>
      </c>
      <c r="B20" t="inlineStr">
        <is>
          <t>Hubo</t>
        </is>
      </c>
      <c r="C20" t="inlineStr">
        <is>
          <t>checked</t>
        </is>
      </c>
      <c r="D20" t="inlineStr"/>
    </row>
    <row r="21">
      <c r="A21" t="inlineStr">
        <is>
          <t>BE</t>
        </is>
      </c>
      <c r="B21" t="inlineStr">
        <is>
          <t>Skil Europe</t>
        </is>
      </c>
      <c r="C21" t="inlineStr">
        <is>
          <t>checked</t>
        </is>
      </c>
      <c r="D21" t="inlineStr"/>
    </row>
    <row r="22">
      <c r="A22" t="inlineStr">
        <is>
          <t>BE</t>
        </is>
      </c>
      <c r="B22" t="inlineStr">
        <is>
          <t>Varo</t>
        </is>
      </c>
      <c r="C22" t="inlineStr">
        <is>
          <t>checked</t>
        </is>
      </c>
      <c r="D22" t="inlineStr"/>
    </row>
    <row r="23">
      <c r="A23" t="inlineStr">
        <is>
          <t>BG</t>
        </is>
      </c>
      <c r="B23" t="inlineStr">
        <is>
          <t>Praktiker.bg</t>
        </is>
      </c>
      <c r="C23" t="inlineStr">
        <is>
          <t>blocked</t>
        </is>
      </c>
      <c r="D23" t="inlineStr"/>
    </row>
    <row r="24">
      <c r="A24" t="inlineStr">
        <is>
          <t>BG</t>
        </is>
      </c>
      <c r="B24" t="inlineStr">
        <is>
          <t>raider.bg</t>
        </is>
      </c>
      <c r="C24" t="inlineStr">
        <is>
          <t>checked</t>
        </is>
      </c>
      <c r="D24" t="inlineStr"/>
    </row>
    <row r="25">
      <c r="A25" t="inlineStr">
        <is>
          <t>CH</t>
        </is>
      </c>
      <c r="B25" t="inlineStr">
        <is>
          <t>Einhell webshop einhell.ch</t>
        </is>
      </c>
      <c r="C25" t="inlineStr">
        <is>
          <t>checked</t>
        </is>
      </c>
      <c r="D25" t="inlineStr"/>
    </row>
    <row r="26">
      <c r="A26" t="inlineStr">
        <is>
          <t>CH</t>
        </is>
      </c>
      <c r="B26" t="inlineStr">
        <is>
          <t>Hornbach.ch</t>
        </is>
      </c>
      <c r="C26" t="inlineStr">
        <is>
          <t>checked</t>
        </is>
      </c>
      <c r="D26" t="inlineStr"/>
    </row>
    <row r="27">
      <c r="A27" t="inlineStr">
        <is>
          <t>CY</t>
        </is>
      </c>
      <c r="B27" t="inlineStr">
        <is>
          <t>Lidl CY</t>
        </is>
      </c>
      <c r="C27" t="inlineStr">
        <is>
          <t>checked</t>
        </is>
      </c>
      <c r="D27" t="inlineStr"/>
    </row>
    <row r="28">
      <c r="A28" t="inlineStr">
        <is>
          <t>CY</t>
        </is>
      </c>
      <c r="B28" t="inlineStr">
        <is>
          <t>Lidl.com.cy</t>
        </is>
      </c>
      <c r="C28" t="inlineStr">
        <is>
          <t>checked</t>
        </is>
      </c>
      <c r="D28" t="inlineStr"/>
    </row>
    <row r="29">
      <c r="A29" t="inlineStr">
        <is>
          <t>CY</t>
        </is>
      </c>
      <c r="B29" t="inlineStr">
        <is>
          <t>Skroutz.cy</t>
        </is>
      </c>
      <c r="C29" t="inlineStr">
        <is>
          <t>checked</t>
        </is>
      </c>
      <c r="D29" t="inlineStr"/>
    </row>
    <row r="30">
      <c r="A30" t="inlineStr">
        <is>
          <t>CY</t>
        </is>
      </c>
      <c r="B30" t="inlineStr">
        <is>
          <t>Superhome Center</t>
        </is>
      </c>
      <c r="C30" t="inlineStr">
        <is>
          <t>blocked</t>
        </is>
      </c>
      <c r="D30" t="inlineStr"/>
    </row>
    <row r="31">
      <c r="A31" t="inlineStr">
        <is>
          <t>CZ</t>
        </is>
      </c>
      <c r="B31" t="inlineStr">
        <is>
          <t>Bauhaus</t>
        </is>
      </c>
      <c r="C31" t="inlineStr">
        <is>
          <t>checked</t>
        </is>
      </c>
      <c r="D31" t="inlineStr"/>
    </row>
    <row r="32">
      <c r="A32" t="inlineStr">
        <is>
          <t>CZ</t>
        </is>
      </c>
      <c r="B32" t="inlineStr">
        <is>
          <t>Bauhaus CZ</t>
        </is>
      </c>
      <c r="C32" t="inlineStr">
        <is>
          <t>checked</t>
        </is>
      </c>
      <c r="D32" t="inlineStr"/>
    </row>
    <row r="33">
      <c r="A33" t="inlineStr">
        <is>
          <t>CZ</t>
        </is>
      </c>
      <c r="B33" t="inlineStr">
        <is>
          <t>Hecht</t>
        </is>
      </c>
      <c r="C33" t="inlineStr">
        <is>
          <t>checked</t>
        </is>
      </c>
      <c r="D33" t="inlineStr"/>
    </row>
    <row r="34">
      <c r="A34" t="inlineStr">
        <is>
          <t>CZ</t>
        </is>
      </c>
      <c r="B34" t="inlineStr">
        <is>
          <t>Hecht (brand webshop)</t>
        </is>
      </c>
      <c r="C34" t="inlineStr">
        <is>
          <t>checked</t>
        </is>
      </c>
      <c r="D34" t="inlineStr"/>
    </row>
    <row r="35">
      <c r="A35" t="inlineStr">
        <is>
          <t>CZ</t>
        </is>
      </c>
      <c r="B35" t="inlineStr">
        <is>
          <t>Hornbach</t>
        </is>
      </c>
      <c r="C35" t="inlineStr">
        <is>
          <t>checked</t>
        </is>
      </c>
      <c r="D35" t="inlineStr"/>
    </row>
    <row r="36">
      <c r="A36" t="inlineStr">
        <is>
          <t>CZ</t>
        </is>
      </c>
      <c r="B36" t="inlineStr">
        <is>
          <t>Hornbach CZ</t>
        </is>
      </c>
      <c r="C36" t="inlineStr">
        <is>
          <t>checked</t>
        </is>
      </c>
      <c r="D36" t="inlineStr"/>
    </row>
    <row r="37">
      <c r="A37" t="inlineStr">
        <is>
          <t>CZ</t>
        </is>
      </c>
      <c r="B37" t="inlineStr">
        <is>
          <t>OBI</t>
        </is>
      </c>
      <c r="C37" t="inlineStr">
        <is>
          <t>checked</t>
        </is>
      </c>
      <c r="D37" t="inlineStr"/>
    </row>
    <row r="38">
      <c r="A38" t="inlineStr">
        <is>
          <t>CZ</t>
        </is>
      </c>
      <c r="B38" t="inlineStr">
        <is>
          <t>OBI CZ</t>
        </is>
      </c>
      <c r="C38" t="inlineStr">
        <is>
          <t>blocked</t>
        </is>
      </c>
      <c r="D38" t="inlineStr"/>
    </row>
    <row r="39">
      <c r="A39" t="inlineStr">
        <is>
          <t>CZ</t>
        </is>
      </c>
      <c r="B39" t="inlineStr">
        <is>
          <t>zbozi.cz</t>
        </is>
      </c>
      <c r="C39" t="inlineStr">
        <is>
          <t>blocked</t>
        </is>
      </c>
      <c r="D39" t="inlineStr"/>
    </row>
    <row r="40">
      <c r="A40" t="inlineStr">
        <is>
          <t>DE</t>
        </is>
      </c>
      <c r="B40" t="inlineStr">
        <is>
          <t>Aldi Süd</t>
        </is>
      </c>
      <c r="C40" t="inlineStr">
        <is>
          <t>checked</t>
        </is>
      </c>
      <c r="D40" t="inlineStr"/>
    </row>
    <row r="41">
      <c r="A41" t="inlineStr">
        <is>
          <t>DE</t>
        </is>
      </c>
      <c r="B41" t="inlineStr">
        <is>
          <t>Alternate</t>
        </is>
      </c>
      <c r="C41" t="inlineStr">
        <is>
          <t>checked</t>
        </is>
      </c>
      <c r="D41" t="inlineStr"/>
    </row>
    <row r="42">
      <c r="A42" t="inlineStr">
        <is>
          <t>DE</t>
        </is>
      </c>
      <c r="B42" t="inlineStr">
        <is>
          <t>Bauhaus</t>
        </is>
      </c>
      <c r="C42" t="inlineStr">
        <is>
          <t>blocked</t>
        </is>
      </c>
      <c r="D42" t="inlineStr"/>
    </row>
    <row r="43">
      <c r="A43" t="inlineStr">
        <is>
          <t>DE</t>
        </is>
      </c>
      <c r="B43" t="inlineStr">
        <is>
          <t>Bosch DIY catalog</t>
        </is>
      </c>
      <c r="C43" t="inlineStr">
        <is>
          <t>checked</t>
        </is>
      </c>
      <c r="D43" t="inlineStr"/>
    </row>
    <row r="44">
      <c r="A44" t="inlineStr">
        <is>
          <t>DE</t>
        </is>
      </c>
      <c r="B44" t="inlineStr">
        <is>
          <t>Bosch Professional catalog</t>
        </is>
      </c>
      <c r="C44" t="inlineStr">
        <is>
          <t>checked</t>
        </is>
      </c>
      <c r="D44" t="inlineStr"/>
    </row>
    <row r="45">
      <c r="A45" t="inlineStr">
        <is>
          <t>DE</t>
        </is>
      </c>
      <c r="B45" t="inlineStr">
        <is>
          <t>Contorion</t>
        </is>
      </c>
      <c r="C45" t="inlineStr">
        <is>
          <t>blocked</t>
        </is>
      </c>
      <c r="D45" t="inlineStr"/>
    </row>
    <row r="46">
      <c r="A46" t="inlineStr">
        <is>
          <t>DE</t>
        </is>
      </c>
      <c r="B46" t="inlineStr">
        <is>
          <t>Coolblue</t>
        </is>
      </c>
      <c r="C46" t="inlineStr">
        <is>
          <t>checked</t>
        </is>
      </c>
      <c r="D46" t="inlineStr"/>
    </row>
    <row r="47">
      <c r="A47" t="inlineStr">
        <is>
          <t>DE</t>
        </is>
      </c>
      <c r="B47" t="inlineStr">
        <is>
          <t>Dineiger (dineiger.com)</t>
        </is>
      </c>
      <c r="C47" t="inlineStr">
        <is>
          <t>checked</t>
        </is>
      </c>
      <c r="D47" t="inlineStr"/>
    </row>
    <row r="48">
      <c r="A48" t="inlineStr">
        <is>
          <t>DE</t>
        </is>
      </c>
      <c r="B48" t="inlineStr">
        <is>
          <t>EZ-Tools GmbH</t>
        </is>
      </c>
      <c r="C48" t="inlineStr">
        <is>
          <t>checked</t>
        </is>
      </c>
      <c r="D48" t="inlineStr"/>
    </row>
    <row r="49">
      <c r="A49" t="inlineStr">
        <is>
          <t>DE</t>
        </is>
      </c>
      <c r="B49" t="inlineStr">
        <is>
          <t>Einhell webshop (einhell.de)</t>
        </is>
      </c>
      <c r="C49" t="inlineStr">
        <is>
          <t>checked</t>
        </is>
      </c>
      <c r="D49" t="inlineStr"/>
    </row>
    <row r="50">
      <c r="A50" t="inlineStr">
        <is>
          <t>DE</t>
        </is>
      </c>
      <c r="B50" t="inlineStr">
        <is>
          <t>Einhell webshop einhell.de</t>
        </is>
      </c>
      <c r="C50" t="inlineStr">
        <is>
          <t>checked</t>
        </is>
      </c>
      <c r="D50" t="inlineStr"/>
    </row>
    <row r="51">
      <c r="A51" t="inlineStr">
        <is>
          <t>DE</t>
        </is>
      </c>
      <c r="B51" t="inlineStr">
        <is>
          <t>Evolution webshop (de-shop.evolutionpowertools.com)</t>
        </is>
      </c>
      <c r="C51" t="inlineStr">
        <is>
          <t>checked</t>
        </is>
      </c>
      <c r="D51" t="inlineStr"/>
    </row>
    <row r="52">
      <c r="A52" t="inlineStr">
        <is>
          <t>DE</t>
        </is>
      </c>
      <c r="B52" t="inlineStr">
        <is>
          <t>Evolution webshop de-shop.evolutionpowertools.com</t>
        </is>
      </c>
      <c r="C52" t="inlineStr">
        <is>
          <t>checked</t>
        </is>
      </c>
      <c r="D52" t="inlineStr"/>
    </row>
    <row r="53">
      <c r="A53" t="inlineStr">
        <is>
          <t>DE</t>
        </is>
      </c>
      <c r="B53" t="inlineStr">
        <is>
          <t>Festool catalog</t>
        </is>
      </c>
      <c r="C53" t="inlineStr">
        <is>
          <t>checked</t>
        </is>
      </c>
      <c r="D53" t="inlineStr"/>
    </row>
    <row r="54">
      <c r="A54" t="inlineStr">
        <is>
          <t>DE</t>
        </is>
      </c>
      <c r="B54" t="inlineStr">
        <is>
          <t>Globus Baumarkt</t>
        </is>
      </c>
      <c r="C54" t="inlineStr">
        <is>
          <t>checked</t>
        </is>
      </c>
      <c r="D54" t="inlineStr"/>
    </row>
    <row r="55">
      <c r="A55" t="inlineStr">
        <is>
          <t>DE</t>
        </is>
      </c>
      <c r="B55" t="inlineStr">
        <is>
          <t>Güde guede.com</t>
        </is>
      </c>
      <c r="C55" t="inlineStr">
        <is>
          <t>checked</t>
        </is>
      </c>
      <c r="D55" t="inlineStr"/>
    </row>
    <row r="56">
      <c r="A56" t="inlineStr">
        <is>
          <t>DE</t>
        </is>
      </c>
      <c r="B56" t="inlineStr">
        <is>
          <t>Hornbach</t>
        </is>
      </c>
      <c r="C56" t="inlineStr">
        <is>
          <t>checked</t>
        </is>
      </c>
      <c r="D56" t="inlineStr"/>
    </row>
    <row r="57">
      <c r="A57" t="inlineStr">
        <is>
          <t>DE</t>
        </is>
      </c>
      <c r="B57" t="inlineStr">
        <is>
          <t>Kaufland</t>
        </is>
      </c>
      <c r="C57" t="inlineStr">
        <is>
          <t>blocked</t>
        </is>
      </c>
      <c r="D57" t="inlineStr"/>
    </row>
    <row r="58">
      <c r="A58" t="inlineStr">
        <is>
          <t>DE</t>
        </is>
      </c>
      <c r="B58" t="inlineStr">
        <is>
          <t>Lidl</t>
        </is>
      </c>
      <c r="C58" t="inlineStr">
        <is>
          <t>checked</t>
        </is>
      </c>
      <c r="D58" t="inlineStr"/>
    </row>
    <row r="59">
      <c r="A59" t="inlineStr">
        <is>
          <t>DE</t>
        </is>
      </c>
      <c r="B59" t="inlineStr">
        <is>
          <t>Lidl.de</t>
        </is>
      </c>
      <c r="C59" t="inlineStr">
        <is>
          <t>checked</t>
        </is>
      </c>
      <c r="D59" t="inlineStr"/>
    </row>
    <row r="60">
      <c r="A60" t="inlineStr">
        <is>
          <t>DE</t>
        </is>
      </c>
      <c r="B60" t="inlineStr">
        <is>
          <t>Mafell shop</t>
        </is>
      </c>
      <c r="C60" t="inlineStr">
        <is>
          <t>checked</t>
        </is>
      </c>
      <c r="D60" t="inlineStr"/>
    </row>
    <row r="61">
      <c r="A61" t="inlineStr">
        <is>
          <t>DE</t>
        </is>
      </c>
      <c r="B61" t="inlineStr">
        <is>
          <t>ManoMano</t>
        </is>
      </c>
      <c r="C61" t="inlineStr">
        <is>
          <t>checked</t>
        </is>
      </c>
      <c r="D61" t="inlineStr"/>
    </row>
    <row r="62">
      <c r="A62" t="inlineStr">
        <is>
          <t>DE</t>
        </is>
      </c>
      <c r="B62" t="inlineStr">
        <is>
          <t>ManoMano.de</t>
        </is>
      </c>
      <c r="C62" t="inlineStr">
        <is>
          <t>checked</t>
        </is>
      </c>
      <c r="D62" t="inlineStr"/>
    </row>
    <row r="63">
      <c r="A63" t="inlineStr">
        <is>
          <t>DE</t>
        </is>
      </c>
      <c r="B63" t="inlineStr">
        <is>
          <t>Metabo catalog</t>
        </is>
      </c>
      <c r="C63" t="inlineStr">
        <is>
          <t>checked</t>
        </is>
      </c>
      <c r="D63" t="inlineStr"/>
    </row>
    <row r="64">
      <c r="A64" t="inlineStr">
        <is>
          <t>DE</t>
        </is>
      </c>
      <c r="B64" t="inlineStr">
        <is>
          <t>OBI</t>
        </is>
      </c>
      <c r="C64" t="inlineStr">
        <is>
          <t>checked</t>
        </is>
      </c>
      <c r="D64" t="inlineStr"/>
    </row>
    <row r="65">
      <c r="A65" t="inlineStr">
        <is>
          <t>DE</t>
        </is>
      </c>
      <c r="B65" t="inlineStr">
        <is>
          <t>OTTO</t>
        </is>
      </c>
      <c r="C65" t="inlineStr">
        <is>
          <t>checked</t>
        </is>
      </c>
      <c r="D65" t="inlineStr"/>
    </row>
    <row r="66">
      <c r="A66" t="inlineStr">
        <is>
          <t>DE</t>
        </is>
      </c>
      <c r="B66" t="inlineStr">
        <is>
          <t>Sautershop</t>
        </is>
      </c>
      <c r="C66" t="inlineStr">
        <is>
          <t>checked</t>
        </is>
      </c>
      <c r="D66" t="inlineStr"/>
    </row>
    <row r="67">
      <c r="A67" t="inlineStr">
        <is>
          <t>DE</t>
        </is>
      </c>
      <c r="B67" t="inlineStr">
        <is>
          <t>Scheppach Shop</t>
        </is>
      </c>
      <c r="C67" t="inlineStr">
        <is>
          <t>checked</t>
        </is>
      </c>
      <c r="D67" t="inlineStr"/>
    </row>
    <row r="68">
      <c r="A68" t="inlineStr">
        <is>
          <t>DE</t>
        </is>
      </c>
      <c r="B68" t="inlineStr">
        <is>
          <t>Scheppach webshop (shop.scheppach.com)</t>
        </is>
      </c>
      <c r="C68" t="inlineStr">
        <is>
          <t>checked</t>
        </is>
      </c>
      <c r="D68" t="inlineStr"/>
    </row>
    <row r="69">
      <c r="A69" t="inlineStr">
        <is>
          <t>DE</t>
        </is>
      </c>
      <c r="B69" t="inlineStr">
        <is>
          <t>Scheppach webshop shop.scheppach.com</t>
        </is>
      </c>
      <c r="C69" t="inlineStr">
        <is>
          <t>checked</t>
        </is>
      </c>
      <c r="D69" t="inlineStr"/>
    </row>
    <row r="70">
      <c r="A70" t="inlineStr">
        <is>
          <t>DE</t>
        </is>
      </c>
      <c r="B70" t="inlineStr">
        <is>
          <t>Stürmer Maschinen</t>
        </is>
      </c>
      <c r="C70" t="inlineStr">
        <is>
          <t>checked</t>
        </is>
      </c>
      <c r="D70" t="inlineStr"/>
    </row>
    <row r="71">
      <c r="A71" t="inlineStr">
        <is>
          <t>DE</t>
        </is>
      </c>
      <c r="B71" t="inlineStr">
        <is>
          <t>Stürmer Maschinen (Holzstar brand owner) product page</t>
        </is>
      </c>
      <c r="C71" t="inlineStr">
        <is>
          <t>checked</t>
        </is>
      </c>
      <c r="D71" t="inlineStr"/>
    </row>
    <row r="72">
      <c r="A72" t="inlineStr">
        <is>
          <t>DE</t>
        </is>
      </c>
      <c r="B72" t="inlineStr">
        <is>
          <t>Toolbrothers</t>
        </is>
      </c>
      <c r="C72" t="inlineStr">
        <is>
          <t>checked</t>
        </is>
      </c>
      <c r="D72" t="inlineStr"/>
    </row>
    <row r="73">
      <c r="A73" t="inlineStr">
        <is>
          <t>DE</t>
        </is>
      </c>
      <c r="B73" t="inlineStr">
        <is>
          <t>eBay.de</t>
        </is>
      </c>
      <c r="C73" t="inlineStr">
        <is>
          <t>checked</t>
        </is>
      </c>
      <c r="D73" t="inlineStr"/>
    </row>
    <row r="74">
      <c r="A74" t="inlineStr">
        <is>
          <t>DE</t>
        </is>
      </c>
      <c r="B74" t="inlineStr">
        <is>
          <t>hagebau</t>
        </is>
      </c>
      <c r="C74" t="inlineStr">
        <is>
          <t>checked</t>
        </is>
      </c>
      <c r="D74" t="inlineStr"/>
    </row>
    <row r="75">
      <c r="A75" t="inlineStr">
        <is>
          <t>DE</t>
        </is>
      </c>
      <c r="B75" t="inlineStr">
        <is>
          <t>toom</t>
        </is>
      </c>
      <c r="C75" t="inlineStr">
        <is>
          <t>checked</t>
        </is>
      </c>
      <c r="D75" t="inlineStr"/>
    </row>
    <row r="76">
      <c r="A76" t="inlineStr">
        <is>
          <t>DE</t>
        </is>
      </c>
      <c r="B76" t="inlineStr">
        <is>
          <t>toom Baumarkt</t>
        </is>
      </c>
      <c r="C76" t="inlineStr">
        <is>
          <t>checked</t>
        </is>
      </c>
      <c r="D76" t="inlineStr"/>
    </row>
    <row r="77">
      <c r="A77" t="inlineStr">
        <is>
          <t>DK</t>
        </is>
      </c>
      <c r="B77" t="inlineStr">
        <is>
          <t>Jem &amp; Fix</t>
        </is>
      </c>
      <c r="C77" t="inlineStr">
        <is>
          <t>checked</t>
        </is>
      </c>
      <c r="D77" t="inlineStr"/>
    </row>
    <row r="78">
      <c r="A78" t="inlineStr">
        <is>
          <t>EE</t>
        </is>
      </c>
      <c r="B78" t="inlineStr">
        <is>
          <t>Hinnavaatlus.ee</t>
        </is>
      </c>
      <c r="C78" t="inlineStr">
        <is>
          <t>checked</t>
        </is>
      </c>
      <c r="D78" t="inlineStr"/>
    </row>
    <row r="79">
      <c r="A79" t="inlineStr">
        <is>
          <t>EE</t>
        </is>
      </c>
      <c r="B79" t="inlineStr">
        <is>
          <t>Hinnavaatlus.ee (比價站)</t>
        </is>
      </c>
      <c r="C79" t="inlineStr">
        <is>
          <t>checked</t>
        </is>
      </c>
      <c r="D79" t="inlineStr"/>
    </row>
    <row r="80">
      <c r="A80" t="inlineStr">
        <is>
          <t>ES</t>
        </is>
      </c>
      <c r="B80" t="inlineStr">
        <is>
          <t>Amazon.es</t>
        </is>
      </c>
      <c r="C80" t="inlineStr">
        <is>
          <t>checked</t>
        </is>
      </c>
      <c r="D80" t="inlineStr"/>
    </row>
    <row r="81">
      <c r="A81" t="inlineStr">
        <is>
          <t>ES</t>
        </is>
      </c>
      <c r="B81" t="inlineStr">
        <is>
          <t>ManoMano.es</t>
        </is>
      </c>
      <c r="C81" t="inlineStr">
        <is>
          <t>checked</t>
        </is>
      </c>
      <c r="D81" t="inlineStr"/>
    </row>
    <row r="82">
      <c r="A82" t="inlineStr">
        <is>
          <t>ES</t>
        </is>
      </c>
      <c r="B82" t="inlineStr">
        <is>
          <t>Triton</t>
        </is>
      </c>
      <c r="C82" t="inlineStr">
        <is>
          <t>checked</t>
        </is>
      </c>
      <c r="D82" t="inlineStr"/>
    </row>
    <row r="83">
      <c r="A83" t="inlineStr">
        <is>
          <t>ES</t>
        </is>
      </c>
      <c r="B83" t="inlineStr">
        <is>
          <t>eBay.es</t>
        </is>
      </c>
      <c r="C83" t="inlineStr">
        <is>
          <t>checked</t>
        </is>
      </c>
      <c r="D83" t="inlineStr"/>
    </row>
    <row r="84">
      <c r="A84" t="inlineStr">
        <is>
          <t>FI</t>
        </is>
      </c>
      <c r="B84" t="inlineStr">
        <is>
          <t>K-Rauta</t>
        </is>
      </c>
      <c r="C84" t="inlineStr">
        <is>
          <t>checked</t>
        </is>
      </c>
      <c r="D84" t="inlineStr"/>
    </row>
    <row r="85">
      <c r="A85" t="inlineStr">
        <is>
          <t>FI</t>
        </is>
      </c>
      <c r="B85" t="inlineStr">
        <is>
          <t>K-Rauta.fi</t>
        </is>
      </c>
      <c r="C85" t="inlineStr">
        <is>
          <t>checked</t>
        </is>
      </c>
      <c r="D85" t="inlineStr"/>
    </row>
    <row r="86">
      <c r="A86" t="inlineStr">
        <is>
          <t>FI</t>
        </is>
      </c>
      <c r="B86" t="inlineStr">
        <is>
          <t>Motonet</t>
        </is>
      </c>
      <c r="C86" t="inlineStr">
        <is>
          <t>checked</t>
        </is>
      </c>
      <c r="D86" t="inlineStr"/>
    </row>
    <row r="87">
      <c r="A87" t="inlineStr">
        <is>
          <t>FI</t>
        </is>
      </c>
      <c r="B87" t="inlineStr">
        <is>
          <t>Verkkokauppa.com</t>
        </is>
      </c>
      <c r="C87" t="inlineStr">
        <is>
          <t>checked</t>
        </is>
      </c>
      <c r="D87" t="inlineStr"/>
    </row>
    <row r="88">
      <c r="A88" t="inlineStr">
        <is>
          <t>FR</t>
        </is>
      </c>
      <c r="B88" t="inlineStr">
        <is>
          <t>Amazon.fr</t>
        </is>
      </c>
      <c r="C88" t="inlineStr">
        <is>
          <t>checked</t>
        </is>
      </c>
      <c r="D88" t="inlineStr"/>
    </row>
    <row r="89">
      <c r="A89" t="inlineStr">
        <is>
          <t>FR</t>
        </is>
      </c>
      <c r="B89" t="inlineStr">
        <is>
          <t>Brico Dépôt</t>
        </is>
      </c>
      <c r="C89" t="inlineStr">
        <is>
          <t>checked</t>
        </is>
      </c>
      <c r="D89" t="inlineStr"/>
    </row>
    <row r="90">
      <c r="A90" t="inlineStr">
        <is>
          <t>FR</t>
        </is>
      </c>
      <c r="B90" t="inlineStr">
        <is>
          <t>Bricozor</t>
        </is>
      </c>
      <c r="C90" t="inlineStr">
        <is>
          <t>checked</t>
        </is>
      </c>
      <c r="D90" t="inlineStr"/>
    </row>
    <row r="91">
      <c r="A91" t="inlineStr">
        <is>
          <t>FR</t>
        </is>
      </c>
      <c r="B91" t="inlineStr">
        <is>
          <t>Einhell webshop (einhell.fr)</t>
        </is>
      </c>
      <c r="C91" t="inlineStr">
        <is>
          <t>checked</t>
        </is>
      </c>
      <c r="D91" t="inlineStr"/>
    </row>
    <row r="92">
      <c r="A92" t="inlineStr">
        <is>
          <t>FR</t>
        </is>
      </c>
      <c r="B92" t="inlineStr">
        <is>
          <t>Einhell webshop einhell.fr</t>
        </is>
      </c>
      <c r="C92" t="inlineStr">
        <is>
          <t>checked</t>
        </is>
      </c>
      <c r="D92" t="inlineStr"/>
    </row>
    <row r="93">
      <c r="A93" t="inlineStr">
        <is>
          <t>FR</t>
        </is>
      </c>
      <c r="B93" t="inlineStr">
        <is>
          <t>ManoMano.fr</t>
        </is>
      </c>
      <c r="C93" t="inlineStr">
        <is>
          <t>checked</t>
        </is>
      </c>
      <c r="D93" t="inlineStr"/>
    </row>
    <row r="94">
      <c r="A94" t="inlineStr">
        <is>
          <t>FR</t>
        </is>
      </c>
      <c r="B94" t="inlineStr">
        <is>
          <t>eBay.fr</t>
        </is>
      </c>
      <c r="C94" t="inlineStr">
        <is>
          <t>checked</t>
        </is>
      </c>
      <c r="D94" t="inlineStr"/>
    </row>
    <row r="95">
      <c r="A95" t="inlineStr">
        <is>
          <t>GB</t>
        </is>
      </c>
      <c r="B95" t="inlineStr">
        <is>
          <t>Amazon.co.uk</t>
        </is>
      </c>
      <c r="C95" t="inlineStr">
        <is>
          <t>checked</t>
        </is>
      </c>
      <c r="D95" t="inlineStr"/>
    </row>
    <row r="96">
      <c r="A96" t="inlineStr">
        <is>
          <t>GB</t>
        </is>
      </c>
      <c r="B96" t="inlineStr">
        <is>
          <t>Arnold Clark Autoparts</t>
        </is>
      </c>
      <c r="C96" t="inlineStr">
        <is>
          <t>blocked</t>
        </is>
      </c>
      <c r="D96" t="inlineStr"/>
    </row>
    <row r="97">
      <c r="A97" t="inlineStr">
        <is>
          <t>GB</t>
        </is>
      </c>
      <c r="B97" t="inlineStr">
        <is>
          <t>Axminster Tools</t>
        </is>
      </c>
      <c r="C97" t="inlineStr">
        <is>
          <t>checked</t>
        </is>
      </c>
      <c r="D97" t="inlineStr"/>
    </row>
    <row r="98">
      <c r="A98" t="inlineStr">
        <is>
          <t>GB</t>
        </is>
      </c>
      <c r="B98" t="inlineStr">
        <is>
          <t>Cromwell</t>
        </is>
      </c>
      <c r="C98" t="inlineStr">
        <is>
          <t>checked</t>
        </is>
      </c>
      <c r="D98" t="inlineStr"/>
    </row>
    <row r="99">
      <c r="A99" t="inlineStr">
        <is>
          <t>GB</t>
        </is>
      </c>
      <c r="B99" t="inlineStr">
        <is>
          <t>ITS (its.co.uk)</t>
        </is>
      </c>
      <c r="C99" t="inlineStr">
        <is>
          <t>checked</t>
        </is>
      </c>
      <c r="D99" t="inlineStr"/>
    </row>
    <row r="100">
      <c r="A100" t="inlineStr">
        <is>
          <t>GB</t>
        </is>
      </c>
      <c r="B100" t="inlineStr">
        <is>
          <t>Lawson HIS</t>
        </is>
      </c>
      <c r="C100" t="inlineStr">
        <is>
          <t>checked</t>
        </is>
      </c>
      <c r="D100" t="inlineStr"/>
    </row>
    <row r="101">
      <c r="A101" t="inlineStr">
        <is>
          <t>GB</t>
        </is>
      </c>
      <c r="B101" t="inlineStr">
        <is>
          <t>Lumberjack Tools</t>
        </is>
      </c>
      <c r="C101" t="inlineStr">
        <is>
          <t>checked</t>
        </is>
      </c>
      <c r="D101" t="inlineStr"/>
    </row>
    <row r="102">
      <c r="A102" t="inlineStr">
        <is>
          <t>GB</t>
        </is>
      </c>
      <c r="B102" t="inlineStr">
        <is>
          <t>Lumberjack Tools (brand owner shop)</t>
        </is>
      </c>
      <c r="C102" t="inlineStr">
        <is>
          <t>checked</t>
        </is>
      </c>
      <c r="D102" t="inlineStr"/>
    </row>
    <row r="103">
      <c r="A103" t="inlineStr">
        <is>
          <t>GB</t>
        </is>
      </c>
      <c r="B103" t="inlineStr">
        <is>
          <t>ManoMano.co.uk</t>
        </is>
      </c>
      <c r="C103" t="inlineStr">
        <is>
          <t>checked</t>
        </is>
      </c>
      <c r="D103" t="inlineStr"/>
    </row>
    <row r="104">
      <c r="A104" t="inlineStr">
        <is>
          <t>GB</t>
        </is>
      </c>
      <c r="B104" t="inlineStr">
        <is>
          <t>Record Power</t>
        </is>
      </c>
      <c r="C104" t="inlineStr">
        <is>
          <t>checked</t>
        </is>
      </c>
      <c r="D104" t="inlineStr"/>
    </row>
    <row r="105">
      <c r="A105" t="inlineStr">
        <is>
          <t>GB</t>
        </is>
      </c>
      <c r="B105" t="inlineStr">
        <is>
          <t>Record Power (brand owner)</t>
        </is>
      </c>
      <c r="C105" t="inlineStr">
        <is>
          <t>checked</t>
        </is>
      </c>
      <c r="D105" t="inlineStr"/>
    </row>
    <row r="106">
      <c r="A106" t="inlineStr">
        <is>
          <t>GB</t>
        </is>
      </c>
      <c r="B106" t="inlineStr">
        <is>
          <t>Ryobi UK shop</t>
        </is>
      </c>
      <c r="C106" t="inlineStr">
        <is>
          <t>checked</t>
        </is>
      </c>
      <c r="D106" t="inlineStr"/>
    </row>
    <row r="107">
      <c r="A107" t="inlineStr">
        <is>
          <t>GB</t>
        </is>
      </c>
      <c r="B107" t="inlineStr">
        <is>
          <t>SIP</t>
        </is>
      </c>
      <c r="C107" t="inlineStr">
        <is>
          <t>checked</t>
        </is>
      </c>
      <c r="D107" t="inlineStr"/>
    </row>
    <row r="108">
      <c r="A108" t="inlineStr">
        <is>
          <t>GB</t>
        </is>
      </c>
      <c r="B108" t="inlineStr">
        <is>
          <t>Sealey</t>
        </is>
      </c>
      <c r="C108" t="inlineStr">
        <is>
          <t>checked</t>
        </is>
      </c>
      <c r="D108" t="inlineStr"/>
    </row>
    <row r="109">
      <c r="A109" t="inlineStr">
        <is>
          <t>GB</t>
        </is>
      </c>
      <c r="B109" t="inlineStr">
        <is>
          <t>Silverline</t>
        </is>
      </c>
      <c r="C109" t="inlineStr">
        <is>
          <t>checked</t>
        </is>
      </c>
      <c r="D109" t="inlineStr"/>
    </row>
    <row r="110">
      <c r="A110" t="inlineStr">
        <is>
          <t>GB</t>
        </is>
      </c>
      <c r="B110" t="inlineStr">
        <is>
          <t>Sitebox</t>
        </is>
      </c>
      <c r="C110" t="inlineStr">
        <is>
          <t>checked</t>
        </is>
      </c>
      <c r="D110" t="inlineStr"/>
    </row>
    <row r="111">
      <c r="A111" t="inlineStr">
        <is>
          <t>GB</t>
        </is>
      </c>
      <c r="B111" t="inlineStr">
        <is>
          <t>The Range (marketplace partner Direct Import UK Limited)</t>
        </is>
      </c>
      <c r="C111" t="inlineStr">
        <is>
          <t>checked</t>
        </is>
      </c>
      <c r="D111" t="inlineStr"/>
    </row>
    <row r="112">
      <c r="A112" t="inlineStr">
        <is>
          <t>GB</t>
        </is>
      </c>
      <c r="B112" t="inlineStr">
        <is>
          <t>Tooled-Up</t>
        </is>
      </c>
      <c r="C112" t="inlineStr">
        <is>
          <t>checked</t>
        </is>
      </c>
      <c r="D112" t="inlineStr"/>
    </row>
    <row r="113">
      <c r="A113" t="inlineStr">
        <is>
          <t>GB</t>
        </is>
      </c>
      <c r="B113" t="inlineStr">
        <is>
          <t>Toolstation</t>
        </is>
      </c>
      <c r="C113" t="inlineStr">
        <is>
          <t>checked</t>
        </is>
      </c>
      <c r="D113" t="inlineStr"/>
    </row>
    <row r="114">
      <c r="A114" t="inlineStr">
        <is>
          <t>GB</t>
        </is>
      </c>
      <c r="B114" t="inlineStr">
        <is>
          <t>Toolstop</t>
        </is>
      </c>
      <c r="C114" t="inlineStr">
        <is>
          <t>checked</t>
        </is>
      </c>
      <c r="D114" t="inlineStr"/>
    </row>
    <row r="115">
      <c r="A115" t="inlineStr">
        <is>
          <t>GB</t>
        </is>
      </c>
      <c r="B115" t="inlineStr">
        <is>
          <t>Triton tritontools.com</t>
        </is>
      </c>
      <c r="C115" t="inlineStr">
        <is>
          <t>checked</t>
        </is>
      </c>
      <c r="D115" t="inlineStr"/>
    </row>
    <row r="116">
      <c r="A116" t="inlineStr">
        <is>
          <t>GB</t>
        </is>
      </c>
      <c r="B116" t="inlineStr">
        <is>
          <t>World of Power</t>
        </is>
      </c>
      <c r="C116" t="inlineStr">
        <is>
          <t>checked</t>
        </is>
      </c>
      <c r="D116" t="inlineStr"/>
    </row>
    <row r="117">
      <c r="A117" t="inlineStr">
        <is>
          <t>GB</t>
        </is>
      </c>
      <c r="B117" t="inlineStr">
        <is>
          <t>WowTools</t>
        </is>
      </c>
      <c r="C117" t="inlineStr">
        <is>
          <t>checked</t>
        </is>
      </c>
      <c r="D117" t="inlineStr"/>
    </row>
    <row r="118">
      <c r="A118" t="inlineStr">
        <is>
          <t>GB</t>
        </is>
      </c>
      <c r="B118" t="inlineStr">
        <is>
          <t>eBay.co.uk</t>
        </is>
      </c>
      <c r="C118" t="inlineStr">
        <is>
          <t>checked</t>
        </is>
      </c>
      <c r="D118" t="inlineStr"/>
    </row>
    <row r="119">
      <c r="A119" t="inlineStr">
        <is>
          <t>GR</t>
        </is>
      </c>
      <c r="B119" t="inlineStr">
        <is>
          <t>Praktiker GR</t>
        </is>
      </c>
      <c r="C119" t="inlineStr">
        <is>
          <t>checked</t>
        </is>
      </c>
      <c r="D119" t="inlineStr"/>
    </row>
    <row r="120">
      <c r="A120" t="inlineStr">
        <is>
          <t>GR</t>
        </is>
      </c>
      <c r="B120" t="inlineStr">
        <is>
          <t>Praktiker.gr</t>
        </is>
      </c>
      <c r="C120" t="inlineStr">
        <is>
          <t>checked</t>
        </is>
      </c>
      <c r="D120" t="inlineStr"/>
    </row>
    <row r="121">
      <c r="A121" t="inlineStr">
        <is>
          <t>GR</t>
        </is>
      </c>
      <c r="B121" t="inlineStr">
        <is>
          <t>Skroutz</t>
        </is>
      </c>
      <c r="C121" t="inlineStr">
        <is>
          <t>checked</t>
        </is>
      </c>
      <c r="D121" t="inlineStr"/>
    </row>
    <row r="122">
      <c r="A122" t="inlineStr">
        <is>
          <t>HR</t>
        </is>
      </c>
      <c r="B122" t="inlineStr">
        <is>
          <t>villager.hr</t>
        </is>
      </c>
      <c r="C122" t="inlineStr">
        <is>
          <t>checked</t>
        </is>
      </c>
      <c r="D122" t="inlineStr"/>
    </row>
    <row r="123">
      <c r="A123" t="inlineStr">
        <is>
          <t>HU</t>
        </is>
      </c>
      <c r="B123" t="inlineStr">
        <is>
          <t>OBI</t>
        </is>
      </c>
      <c r="C123" t="inlineStr">
        <is>
          <t>checked</t>
        </is>
      </c>
      <c r="D123" t="inlineStr"/>
    </row>
    <row r="124">
      <c r="A124" t="inlineStr">
        <is>
          <t>HU</t>
        </is>
      </c>
      <c r="B124" t="inlineStr">
        <is>
          <t>OBI HU</t>
        </is>
      </c>
      <c r="C124" t="inlineStr">
        <is>
          <t>checked</t>
        </is>
      </c>
      <c r="D124" t="inlineStr"/>
    </row>
    <row r="125">
      <c r="A125" t="inlineStr">
        <is>
          <t>IE</t>
        </is>
      </c>
      <c r="B125" t="inlineStr">
        <is>
          <t>Homevalue</t>
        </is>
      </c>
      <c r="C125" t="inlineStr">
        <is>
          <t>checked</t>
        </is>
      </c>
      <c r="D125" t="inlineStr"/>
    </row>
    <row r="126">
      <c r="A126" t="inlineStr">
        <is>
          <t>IE</t>
        </is>
      </c>
      <c r="B126" t="inlineStr">
        <is>
          <t>Walsh Plant</t>
        </is>
      </c>
      <c r="C126" t="inlineStr">
        <is>
          <t>checked</t>
        </is>
      </c>
      <c r="D126" t="inlineStr"/>
    </row>
    <row r="127">
      <c r="A127" t="inlineStr">
        <is>
          <t>IE</t>
        </is>
      </c>
      <c r="B127" t="inlineStr">
        <is>
          <t>Woodies</t>
        </is>
      </c>
      <c r="C127" t="inlineStr">
        <is>
          <t>checked</t>
        </is>
      </c>
      <c r="D127" t="inlineStr"/>
    </row>
    <row r="128">
      <c r="A128" t="inlineStr">
        <is>
          <t>IT</t>
        </is>
      </c>
      <c r="B128" t="inlineStr">
        <is>
          <t>Krollit</t>
        </is>
      </c>
      <c r="C128" t="inlineStr">
        <is>
          <t>checked</t>
        </is>
      </c>
      <c r="D128" t="inlineStr"/>
    </row>
    <row r="129">
      <c r="A129" t="inlineStr">
        <is>
          <t>IT</t>
        </is>
      </c>
      <c r="B129" t="inlineStr">
        <is>
          <t>ManoMano.it</t>
        </is>
      </c>
      <c r="C129" t="inlineStr">
        <is>
          <t>checked</t>
        </is>
      </c>
      <c r="D129" t="inlineStr"/>
    </row>
    <row r="130">
      <c r="A130" t="inlineStr">
        <is>
          <t>IT</t>
        </is>
      </c>
      <c r="B130" t="inlineStr">
        <is>
          <t>Yeppon</t>
        </is>
      </c>
      <c r="C130" t="inlineStr">
        <is>
          <t>blocked</t>
        </is>
      </c>
      <c r="D130" t="inlineStr"/>
    </row>
    <row r="131">
      <c r="A131" t="inlineStr">
        <is>
          <t>IT</t>
        </is>
      </c>
      <c r="B131" t="inlineStr">
        <is>
          <t>eBay.it</t>
        </is>
      </c>
      <c r="C131" t="inlineStr">
        <is>
          <t>checked</t>
        </is>
      </c>
      <c r="D131" t="inlineStr"/>
    </row>
    <row r="132">
      <c r="A132" t="inlineStr">
        <is>
          <t>LT</t>
        </is>
      </c>
      <c r="B132" t="inlineStr">
        <is>
          <t>Ermitažas</t>
        </is>
      </c>
      <c r="C132" t="inlineStr">
        <is>
          <t>blocked</t>
        </is>
      </c>
      <c r="D132" t="inlineStr"/>
    </row>
    <row r="133">
      <c r="A133" t="inlineStr">
        <is>
          <t>LT</t>
        </is>
      </c>
      <c r="B133" t="inlineStr">
        <is>
          <t>Senukai</t>
        </is>
      </c>
      <c r="C133" t="inlineStr">
        <is>
          <t>checked</t>
        </is>
      </c>
      <c r="D133" t="inlineStr"/>
    </row>
    <row r="134">
      <c r="A134" t="inlineStr">
        <is>
          <t>LU</t>
        </is>
      </c>
      <c r="B134" t="inlineStr">
        <is>
          <t>Hornbach LU</t>
        </is>
      </c>
      <c r="C134" t="inlineStr">
        <is>
          <t>checked</t>
        </is>
      </c>
      <c r="D134" t="inlineStr"/>
    </row>
    <row r="135">
      <c r="A135" t="inlineStr">
        <is>
          <t>LV</t>
        </is>
      </c>
      <c r="B135" t="inlineStr">
        <is>
          <t>220.lv</t>
        </is>
      </c>
      <c r="C135" t="inlineStr">
        <is>
          <t>checked</t>
        </is>
      </c>
      <c r="D135" t="inlineStr"/>
    </row>
    <row r="136">
      <c r="A136" t="inlineStr">
        <is>
          <t>LV</t>
        </is>
      </c>
      <c r="B136" t="inlineStr">
        <is>
          <t>Kurpirkt.lv</t>
        </is>
      </c>
      <c r="C136" t="inlineStr">
        <is>
          <t>blocked</t>
        </is>
      </c>
      <c r="D136" t="inlineStr"/>
    </row>
    <row r="137">
      <c r="A137" t="inlineStr">
        <is>
          <t>MT</t>
        </is>
      </c>
      <c r="B137" t="inlineStr">
        <is>
          <t>Tools &amp; Hardware</t>
        </is>
      </c>
      <c r="C137" t="inlineStr">
        <is>
          <t>checked</t>
        </is>
      </c>
      <c r="D137" t="inlineStr"/>
    </row>
    <row r="138">
      <c r="A138" t="inlineStr">
        <is>
          <t>MT</t>
        </is>
      </c>
      <c r="B138" t="inlineStr">
        <is>
          <t>ixtri.mt (marketplace)</t>
        </is>
      </c>
      <c r="C138" t="inlineStr">
        <is>
          <t>checked</t>
        </is>
      </c>
      <c r="D138" t="inlineStr"/>
    </row>
    <row r="139">
      <c r="A139" t="inlineStr">
        <is>
          <t>NL</t>
        </is>
      </c>
      <c r="B139" t="inlineStr">
        <is>
          <t>Coolblue</t>
        </is>
      </c>
      <c r="C139" t="inlineStr">
        <is>
          <t>checked</t>
        </is>
      </c>
      <c r="D139" t="inlineStr"/>
    </row>
    <row r="140">
      <c r="A140" t="inlineStr">
        <is>
          <t>NL</t>
        </is>
      </c>
      <c r="B140" t="inlineStr">
        <is>
          <t>Ferm DIY ferm-diy.com</t>
        </is>
      </c>
      <c r="C140" t="inlineStr">
        <is>
          <t>checked</t>
        </is>
      </c>
      <c r="D140" t="inlineStr"/>
    </row>
    <row r="141">
      <c r="A141" t="inlineStr">
        <is>
          <t>NL</t>
        </is>
      </c>
      <c r="B141" t="inlineStr">
        <is>
          <t>GAMMA</t>
        </is>
      </c>
      <c r="C141" t="inlineStr">
        <is>
          <t>checked</t>
        </is>
      </c>
      <c r="D141" t="inlineStr"/>
    </row>
    <row r="142">
      <c r="A142" t="inlineStr">
        <is>
          <t>NL</t>
        </is>
      </c>
      <c r="B142" t="inlineStr">
        <is>
          <t>GAMMA NL</t>
        </is>
      </c>
      <c r="C142" t="inlineStr">
        <is>
          <t>checked</t>
        </is>
      </c>
      <c r="D142" t="inlineStr"/>
    </row>
    <row r="143">
      <c r="A143" t="inlineStr">
        <is>
          <t>NL</t>
        </is>
      </c>
      <c r="B143" t="inlineStr">
        <is>
          <t>Hornbach NL</t>
        </is>
      </c>
      <c r="C143" t="inlineStr">
        <is>
          <t>checked</t>
        </is>
      </c>
      <c r="D143" t="inlineStr"/>
    </row>
    <row r="144">
      <c r="A144" t="inlineStr">
        <is>
          <t>NL</t>
        </is>
      </c>
      <c r="B144" t="inlineStr">
        <is>
          <t>Hubo NL</t>
        </is>
      </c>
      <c r="C144" t="inlineStr">
        <is>
          <t>checked</t>
        </is>
      </c>
      <c r="D144" t="inlineStr"/>
    </row>
    <row r="145">
      <c r="A145" t="inlineStr">
        <is>
          <t>NL</t>
        </is>
      </c>
      <c r="B145" t="inlineStr">
        <is>
          <t>Karwei</t>
        </is>
      </c>
      <c r="C145" t="inlineStr">
        <is>
          <t>checked</t>
        </is>
      </c>
      <c r="D145" t="inlineStr"/>
    </row>
    <row r="146">
      <c r="A146" t="inlineStr">
        <is>
          <t>NL</t>
        </is>
      </c>
      <c r="B146" t="inlineStr">
        <is>
          <t>Praxis</t>
        </is>
      </c>
      <c r="C146" t="inlineStr">
        <is>
          <t>checked</t>
        </is>
      </c>
      <c r="D146" t="inlineStr"/>
    </row>
    <row r="147">
      <c r="A147" t="inlineStr">
        <is>
          <t>NO</t>
        </is>
      </c>
      <c r="B147" t="inlineStr">
        <is>
          <t>Clas Ohlson NO</t>
        </is>
      </c>
      <c r="C147" t="inlineStr">
        <is>
          <t>checked</t>
        </is>
      </c>
      <c r="D147" t="inlineStr"/>
    </row>
    <row r="148">
      <c r="A148" t="inlineStr">
        <is>
          <t>NO</t>
        </is>
      </c>
      <c r="B148" t="inlineStr">
        <is>
          <t>Godpris.no</t>
        </is>
      </c>
      <c r="C148" t="inlineStr">
        <is>
          <t>blocked</t>
        </is>
      </c>
      <c r="D148" t="inlineStr"/>
    </row>
    <row r="149">
      <c r="A149" t="inlineStr">
        <is>
          <t>NO</t>
        </is>
      </c>
      <c r="B149" t="inlineStr">
        <is>
          <t>Jula NO</t>
        </is>
      </c>
      <c r="C149" t="inlineStr">
        <is>
          <t>checked</t>
        </is>
      </c>
      <c r="D149" t="inlineStr"/>
    </row>
    <row r="150">
      <c r="A150" t="inlineStr">
        <is>
          <t>NO</t>
        </is>
      </c>
      <c r="B150" t="inlineStr">
        <is>
          <t>Obs Bygg</t>
        </is>
      </c>
      <c r="C150" t="inlineStr">
        <is>
          <t>checked</t>
        </is>
      </c>
      <c r="D150" t="inlineStr"/>
    </row>
    <row r="151">
      <c r="A151" t="inlineStr">
        <is>
          <t>NO</t>
        </is>
      </c>
      <c r="B151" t="inlineStr">
        <is>
          <t>Prisjakt.no</t>
        </is>
      </c>
      <c r="C151" t="inlineStr">
        <is>
          <t>checked</t>
        </is>
      </c>
      <c r="D151" t="inlineStr"/>
    </row>
    <row r="152">
      <c r="A152" t="inlineStr">
        <is>
          <t>PL</t>
        </is>
      </c>
      <c r="B152" t="inlineStr">
        <is>
          <t>Castorama</t>
        </is>
      </c>
      <c r="C152" t="inlineStr">
        <is>
          <t>blocked</t>
        </is>
      </c>
      <c r="D152" t="inlineStr"/>
    </row>
    <row r="153">
      <c r="A153" t="inlineStr">
        <is>
          <t>PL</t>
        </is>
      </c>
      <c r="B153" t="inlineStr">
        <is>
          <t>Jula</t>
        </is>
      </c>
      <c r="C153" t="inlineStr">
        <is>
          <t>checked</t>
        </is>
      </c>
      <c r="D153" t="inlineStr"/>
    </row>
    <row r="154">
      <c r="A154" t="inlineStr">
        <is>
          <t>PL</t>
        </is>
      </c>
      <c r="B154" t="inlineStr">
        <is>
          <t>Jula PL</t>
        </is>
      </c>
      <c r="C154" t="inlineStr">
        <is>
          <t>checked</t>
        </is>
      </c>
      <c r="D154" t="inlineStr"/>
    </row>
    <row r="155">
      <c r="A155" t="inlineStr">
        <is>
          <t>PL</t>
        </is>
      </c>
      <c r="B155" t="inlineStr">
        <is>
          <t>Leroy Merlin</t>
        </is>
      </c>
      <c r="C155" t="inlineStr">
        <is>
          <t>checked</t>
        </is>
      </c>
      <c r="D155" t="inlineStr"/>
    </row>
    <row r="156">
      <c r="A156" t="inlineStr">
        <is>
          <t>PL</t>
        </is>
      </c>
      <c r="B156" t="inlineStr">
        <is>
          <t>Media Expert</t>
        </is>
      </c>
      <c r="C156" t="inlineStr">
        <is>
          <t>blocked</t>
        </is>
      </c>
      <c r="D156" t="inlineStr"/>
    </row>
    <row r="157">
      <c r="A157" t="inlineStr">
        <is>
          <t>PL</t>
        </is>
      </c>
      <c r="B157" t="inlineStr">
        <is>
          <t>OBI</t>
        </is>
      </c>
      <c r="C157" t="inlineStr">
        <is>
          <t>checked</t>
        </is>
      </c>
      <c r="D157" t="inlineStr"/>
    </row>
    <row r="158">
      <c r="A158" t="inlineStr">
        <is>
          <t>PL</t>
        </is>
      </c>
      <c r="B158" t="inlineStr">
        <is>
          <t>OBI PL</t>
        </is>
      </c>
      <c r="C158" t="inlineStr">
        <is>
          <t>checked</t>
        </is>
      </c>
      <c r="D158" t="inlineStr"/>
    </row>
    <row r="159">
      <c r="A159" t="inlineStr">
        <is>
          <t>PL</t>
        </is>
      </c>
      <c r="B159" t="inlineStr">
        <is>
          <t>eBay.pl</t>
        </is>
      </c>
      <c r="C159" t="inlineStr">
        <is>
          <t>checked</t>
        </is>
      </c>
      <c r="D159" t="inlineStr"/>
    </row>
    <row r="160">
      <c r="A160" t="inlineStr">
        <is>
          <t>RO</t>
        </is>
      </c>
      <c r="B160" t="inlineStr">
        <is>
          <t>Hornbach RO</t>
        </is>
      </c>
      <c r="C160" t="inlineStr">
        <is>
          <t>checked</t>
        </is>
      </c>
      <c r="D160" t="inlineStr"/>
    </row>
    <row r="161">
      <c r="A161" t="inlineStr">
        <is>
          <t>RO</t>
        </is>
      </c>
      <c r="B161" t="inlineStr">
        <is>
          <t>Hornbach.ro</t>
        </is>
      </c>
      <c r="C161" t="inlineStr">
        <is>
          <t>checked</t>
        </is>
      </c>
      <c r="D161" t="inlineStr"/>
    </row>
    <row r="162">
      <c r="A162" t="inlineStr">
        <is>
          <t>RO</t>
        </is>
      </c>
      <c r="B162" t="inlineStr">
        <is>
          <t>Leroy Merlin</t>
        </is>
      </c>
      <c r="C162" t="inlineStr">
        <is>
          <t>checked</t>
        </is>
      </c>
      <c r="D162" t="inlineStr"/>
    </row>
    <row r="163">
      <c r="A163" t="inlineStr">
        <is>
          <t>RO</t>
        </is>
      </c>
      <c r="B163" t="inlineStr">
        <is>
          <t>eMAG</t>
        </is>
      </c>
      <c r="C163" t="inlineStr">
        <is>
          <t>checked</t>
        </is>
      </c>
      <c r="D163" t="inlineStr"/>
    </row>
    <row r="164">
      <c r="A164" t="inlineStr">
        <is>
          <t>RS</t>
        </is>
      </c>
      <c r="B164" t="inlineStr">
        <is>
          <t>Agromarket</t>
        </is>
      </c>
      <c r="C164" t="inlineStr">
        <is>
          <t>checked</t>
        </is>
      </c>
      <c r="D164" t="inlineStr"/>
    </row>
    <row r="165">
      <c r="A165" t="inlineStr">
        <is>
          <t>RS</t>
        </is>
      </c>
      <c r="B165" t="inlineStr">
        <is>
          <t>Villager</t>
        </is>
      </c>
      <c r="C165" t="inlineStr">
        <is>
          <t>checked</t>
        </is>
      </c>
      <c r="D165" t="inlineStr"/>
    </row>
    <row r="166">
      <c r="A166" t="inlineStr">
        <is>
          <t>SE</t>
        </is>
      </c>
      <c r="B166" t="inlineStr">
        <is>
          <t>Bauhaus.se</t>
        </is>
      </c>
      <c r="C166" t="inlineStr">
        <is>
          <t>blocked</t>
        </is>
      </c>
      <c r="D166" t="inlineStr"/>
    </row>
    <row r="167">
      <c r="A167" t="inlineStr">
        <is>
          <t>SE</t>
        </is>
      </c>
      <c r="B167" t="inlineStr">
        <is>
          <t>Biltema</t>
        </is>
      </c>
      <c r="C167" t="inlineStr">
        <is>
          <t>checked</t>
        </is>
      </c>
      <c r="D167" t="inlineStr"/>
    </row>
    <row r="168">
      <c r="A168" t="inlineStr">
        <is>
          <t>SE</t>
        </is>
      </c>
      <c r="B168" t="inlineStr">
        <is>
          <t>Clas Ohlson SE</t>
        </is>
      </c>
      <c r="C168" t="inlineStr">
        <is>
          <t>checked</t>
        </is>
      </c>
      <c r="D168" t="inlineStr"/>
    </row>
    <row r="169">
      <c r="A169" t="inlineStr">
        <is>
          <t>SE</t>
        </is>
      </c>
      <c r="B169" t="inlineStr">
        <is>
          <t>Hornbach SE</t>
        </is>
      </c>
      <c r="C169" t="inlineStr">
        <is>
          <t>checked</t>
        </is>
      </c>
      <c r="D169" t="inlineStr"/>
    </row>
    <row r="170">
      <c r="A170" t="inlineStr">
        <is>
          <t>SE</t>
        </is>
      </c>
      <c r="B170" t="inlineStr">
        <is>
          <t>Hornbach.se</t>
        </is>
      </c>
      <c r="C170" t="inlineStr">
        <is>
          <t>checked</t>
        </is>
      </c>
      <c r="D170" t="inlineStr"/>
    </row>
    <row r="171">
      <c r="A171" t="inlineStr">
        <is>
          <t>SE</t>
        </is>
      </c>
      <c r="B171" t="inlineStr">
        <is>
          <t>Jula SE</t>
        </is>
      </c>
      <c r="C171" t="inlineStr">
        <is>
          <t>checked</t>
        </is>
      </c>
      <c r="D171" t="inlineStr"/>
    </row>
    <row r="172">
      <c r="A172" t="inlineStr">
        <is>
          <t>SE</t>
        </is>
      </c>
      <c r="B172" t="inlineStr">
        <is>
          <t>Jula.se</t>
        </is>
      </c>
      <c r="C172" t="inlineStr">
        <is>
          <t>checked</t>
        </is>
      </c>
      <c r="D172" t="inlineStr"/>
    </row>
    <row r="173">
      <c r="A173" t="inlineStr">
        <is>
          <t>SI</t>
        </is>
      </c>
      <c r="B173" t="inlineStr">
        <is>
          <t>Bauhaus.si</t>
        </is>
      </c>
      <c r="C173" t="inlineStr">
        <is>
          <t>blocked</t>
        </is>
      </c>
      <c r="D173" t="inlineStr"/>
    </row>
    <row r="174">
      <c r="A174" t="inlineStr">
        <is>
          <t>SK</t>
        </is>
      </c>
      <c r="B174" t="inlineStr">
        <is>
          <t>Bauhaus</t>
        </is>
      </c>
      <c r="C174" t="inlineStr">
        <is>
          <t>checked</t>
        </is>
      </c>
      <c r="D174" t="inlineStr"/>
    </row>
    <row r="175">
      <c r="A175" t="inlineStr">
        <is>
          <t>SK</t>
        </is>
      </c>
      <c r="B175" t="inlineStr">
        <is>
          <t>Hornbach</t>
        </is>
      </c>
      <c r="C175" t="inlineStr">
        <is>
          <t>checked</t>
        </is>
      </c>
      <c r="D175" t="inlineStr"/>
    </row>
    <row r="176">
      <c r="A176" t="inlineStr">
        <is>
          <t>TR</t>
        </is>
      </c>
      <c r="B176" t="inlineStr">
        <is>
          <t>Amazon.com.tr</t>
        </is>
      </c>
      <c r="C176" t="inlineStr">
        <is>
          <t>checked</t>
        </is>
      </c>
      <c r="D176" t="inlineStr"/>
    </row>
    <row r="177">
      <c r="A177" t="inlineStr">
        <is>
          <t>TR</t>
        </is>
      </c>
      <c r="B177" t="inlineStr">
        <is>
          <t>Hepsiburada</t>
        </is>
      </c>
      <c r="C177" t="inlineStr">
        <is>
          <t>checked</t>
        </is>
      </c>
      <c r="D177" t="inlineStr"/>
    </row>
    <row r="178">
      <c r="A178" t="inlineStr">
        <is>
          <t>TR</t>
        </is>
      </c>
      <c r="B178" t="inlineStr">
        <is>
          <t>Tekzen</t>
        </is>
      </c>
      <c r="C178" t="inlineStr">
        <is>
          <t>blocked</t>
        </is>
      </c>
      <c r="D178" t="inlineStr"/>
    </row>
    <row r="179">
      <c r="A179" t="inlineStr">
        <is>
          <t>TR</t>
        </is>
      </c>
      <c r="B179" t="inlineStr">
        <is>
          <t>idefix</t>
        </is>
      </c>
      <c r="C179" t="inlineStr">
        <is>
          <t>checked</t>
        </is>
      </c>
      <c r="D179" t="inlineStr"/>
    </row>
    <row r="180">
      <c r="A180" t="inlineStr">
        <is>
          <t>TR</t>
        </is>
      </c>
      <c r="B180" t="inlineStr">
        <is>
          <t>n11</t>
        </is>
      </c>
      <c r="C180" t="inlineStr">
        <is>
          <t>blocked</t>
        </is>
      </c>
      <c r="D180" t="inlineStr"/>
    </row>
    <row r="181">
      <c r="A181" t="inlineStr">
        <is>
          <t>UA</t>
        </is>
      </c>
      <c r="B181" t="inlineStr">
        <is>
          <t>Allo.ua</t>
        </is>
      </c>
      <c r="C181" t="inlineStr">
        <is>
          <t>checked</t>
        </is>
      </c>
      <c r="D181" t="inlineStr"/>
    </row>
    <row r="182">
      <c r="A182" t="inlineStr">
        <is>
          <t>UA</t>
        </is>
      </c>
      <c r="B182" t="inlineStr">
        <is>
          <t>Epicentr K</t>
        </is>
      </c>
      <c r="C182" t="inlineStr">
        <is>
          <t>blocked</t>
        </is>
      </c>
      <c r="D18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2026-10-21T18:16:29Z</dcterms:created>
  <dcterms:modified xsi:type="dcterms:W3CDTF">2026-10-21T18:16:29Z</dcterms:modified>
</cp:coreProperties>
</file>